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24226"/>
  <mc:AlternateContent xmlns:mc="http://schemas.openxmlformats.org/markup-compatibility/2006">
    <mc:Choice Requires="x15">
      <x15ac:absPath xmlns:x15ac="http://schemas.microsoft.com/office/spreadsheetml/2010/11/ac" url="https://imebu-my.sharepoint.com/personal/controlinterno_imebu_onmicrosoft_com/Documents/Documents/2025/"/>
    </mc:Choice>
  </mc:AlternateContent>
  <xr:revisionPtr revIDLastSave="26" documentId="8_{2BA3B82F-2D28-44E0-B6F5-DDDEF2C1750C}" xr6:coauthVersionLast="47" xr6:coauthVersionMax="47" xr10:uidLastSave="{FE0D1870-D0B3-4826-A44B-69FB4251CA7C}"/>
  <bookViews>
    <workbookView xWindow="-120" yWindow="-120" windowWidth="20730" windowHeight="11040" activeTab="3"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<sst xmlns="http://schemas.openxmlformats.org/spreadsheetml/2006/main" count="514" uniqueCount="245">
  <si>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</si>
  <si>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</si>
  <si>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</si>
  <si>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</si>
  <si>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</si>
  <si>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</si>
  <si>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</si>
  <si>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</si>
  <si>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</si>
  <si>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</si>
  <si>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</si>
  <si>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</si>
  <si>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</si>
  <si>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</si>
  <si>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</si>
  <si>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</si>
  <si>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</si>
  <si>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</si>
  <si>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</si>
  <si>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</si>
  <si>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</si>
  <si>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</si>
  <si>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</si>
  <si>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</si>
  <si>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</si>
  <si>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</si>
  <si>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</si>
  <si>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</si>
  <si>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</si>
  <si>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</si>
  <si>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</si>
  <si>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</si>
  <si>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</si>
  <si>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</si>
  <si>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</si>
  <si>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</si>
  <si>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</si>
  <si>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</si>
  <si>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</si>
  <si>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</si>
  <si>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</si>
  <si>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</si>
  <si>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</si>
  <si>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</si>
  <si>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</si>
  <si>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</si>
  <si>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</si>
  <si>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</si>
  <si>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</si>
  <si>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</si>
  <si>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</si>
  <si>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</si>
  <si>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</si>
  <si>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</si>
  <si>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</si>
  <si>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</si>
  <si>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</si>
  <si>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</si>
  <si>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</si>
  <si>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</si>
  <si>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</si>
  <si>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</si>
  <si>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</si>
  <si>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</si>
  <si>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</si>
  <si>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</si>
  <si>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</si>
  <si>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</si>
  <si>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</si>
  <si>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</si>
  <si>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</si>
  <si>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</si>
  <si>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</si>
  <si>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</si>
  <si>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</si>
  <si>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</si>
  <si>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</si>
  <si>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</si>
  <si>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</si>
  <si>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</si>
  <si>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</si>
  <si>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</si>
  <si>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</si>
  <si>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</si>
  <si>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</si>
  <si>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</si>
  <si>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</si>
  <si>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</si>
  <si>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</si>
  <si>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</si>
  <si>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</si>
  <si>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</si>
  <si>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</si>
  <si>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</si>
  <si>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</si>
  <si>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</si>
  <si>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</si>
  <si>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</si>
  <si>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</si>
  <si>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</si>
  <si>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</si>
  <si>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</si>
  <si>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</si>
  <si>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</si>
  <si>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</si>
  <si>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</si>
  <si>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</si>
  <si>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</si>
  <si>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</si>
  <si>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</si>
  <si>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</si>
  <si>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</si>
  <si>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</si>
  <si>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</si>
  <si>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</si>
  <si>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</si>
  <si>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</si>
  <si>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</si>
  <si>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</si>
  <si>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</si>
  <si>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</si>
  <si>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</si>
  <si>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</si>
  <si>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</si>
  <si>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</si>
  <si>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</si>
  <si>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</si>
  <si>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</si>
  <si>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</si>
  <si>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</si>
  <si>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</si>
  <si>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</si>
  <si>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</si>
  <si>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</si>
  <si>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</si>
  <si>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</si>
  <si>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</si>
  <si>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</si>
  <si>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</si>
  <si>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</si>
  <si>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</si>
  <si>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</si>
  <si>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</si>
  <si>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</si>
  <si>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</si>
  <si>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</si>
  <si>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</si>
  <si>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</si>
  <si>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</si>
  <si>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</si>
  <si>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</si>
  <si>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</si>
  <si>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</si>
  <si>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</si>
  <si>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</si>
  <si>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</si>
  <si>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</si>
  <si>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</si>
  <si>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</si>
  <si>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</si>
  <si>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</si>
  <si>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</si>
  <si>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</si>
  <si>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</si>
  <si>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</si>
  <si>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</si>
  <si>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</si>
  <si>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</si>
  <si>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</si>
  <si>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</si>
  <si>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</si>
  <si>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</si>
  <si>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</si>
  <si>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</si>
  <si>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</si>
  <si>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</si>
  <si>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</si>
  <si>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</si>
  <si>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</si>
  <si>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</si>
  <si>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</si>
  <si>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</si>
  <si>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</si>
  <si>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</si>
  <si>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</si>
  <si>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</si>
  <si>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</si>
  <si>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</si>
  <si>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</si>
  <si>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</si>
  <si>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Instituto Municipal de Empleo y Fomento Empresarial del municipio de Bucaramanga</t>
  </si>
  <si>
    <t>La vinculación de los servidores públicos del instituto se realiza acorde a la normatividad vigente y cuenta con funcionarios en carrera administrativa, libre nombramiento y remoción y periodo fijo como lo indica la norma.</t>
  </si>
  <si>
    <t>Mapa de riesgos institucional</t>
  </si>
  <si>
    <t>Comité institucional de Control Interno y Comité Municipal de Auditoria.</t>
  </si>
  <si>
    <t>Página web, Pbx, Correo electrónico.</t>
  </si>
  <si>
    <t>La entidad cuenta con plan de acción, indicadores de gestión, sistema integrado de gestión de calidad, plan anual de auditorías, entre otros.</t>
  </si>
  <si>
    <t>Planes de mejoramiento internos y externos.</t>
  </si>
  <si>
    <t>Se realiza seguimiento de manera periódica y son reportados en sia misional de manera semestral.</t>
  </si>
  <si>
    <t>El plan anticorrupción y atención al ciudadano de la entidad es aprobado y publicado en página web institucional.</t>
  </si>
  <si>
    <t xml:space="preserve">Las acciones planteadas en el mapa de riesgo de la entidad y sus respectivos seguimientos evitan que la entidad incurra en problemas que obstaculicen el cumplimiento de los objetivos institucionales. </t>
  </si>
  <si>
    <t>A través del decreto 0095 del 29 de junio del 2022 se creó y reglamentó el comité municipal de auditoria del cual hace parte la oficina de control interno del IMEBU.</t>
  </si>
  <si>
    <t xml:space="preserve">Las incluidas en el mapa de riesgos de la entidad y el desarrollo del plan de trabajo de la oficina de control interno </t>
  </si>
  <si>
    <t xml:space="preserve">Se realiza seguimiento al desarrollo del plan de trabajo de la oficina de control interno a través del comité institucional CICI </t>
  </si>
  <si>
    <t xml:space="preserve">A través del comité institucional de control interno y en la presentación del avance del plan de trabajo se pretende identificar los problemas relevantes de la institución e impartir las directrices en camino del cumplimiento de los objetivos </t>
  </si>
  <si>
    <t xml:space="preserve">El manual de funciones fue actualizado acorde a la normatividad legal vigente y aprobado mediente junta directiva, está publicado en pagina web institucional y rigiendo a lo pertinente. </t>
  </si>
  <si>
    <t xml:space="preserve">El mapa de riesgos institucional incluye las acciones encaminadas a la mitigación de estos. </t>
  </si>
  <si>
    <t xml:space="preserve">La informacion se maneja acorde a la politica de tratamiento de datos adoptada por la entidad. </t>
  </si>
  <si>
    <t xml:space="preserve">A traves de la pagina web institucional se viene identificando y diferenciando la informacion para la operación de la entidad y se viene avanzando en el cumplimiento de la resolucion 1519 de 2020. 
Se debe mantener actualizada la pagina en sus diferentes items, especialmente en presupuesto. </t>
  </si>
  <si>
    <t xml:space="preserve">De acuerdo a la identificacion de riesgos en los procesos se programan las auditorias internas para el control de puntos criticos en los procesos y a traves de cada uno de los seguimientos se levantan recomendaciones necesarias para la toma de deciciones por la alta direccion. </t>
  </si>
  <si>
    <t xml:space="preserve">Mediante resolucion 040 de 01 de junio de 2023, fue actualizada y modificada la resolucion 010 de 2018, la cual crea y asigna funciones al comité institucional de coordinacion de control interno del IMEBU, el cual viene operando conforme a lo alli establecido. </t>
  </si>
  <si>
    <t xml:space="preserve">La entidad cuenta con un organigrama establecido conforme a la planta de personal, sin embargo este no es adecuado a los objetivos institucionales, a las normas de austeridad en el gasto y a la formalizacion laboral, por lo tanto se requiere un estudio de reestructuracion. 
  </t>
  </si>
  <si>
    <t xml:space="preserve">En octubre del 2022 se creó el formato de entrevista de retiro garantizando al funcionario lo previsto en la normatividad vigente, así como seguimiento interno que permita conocer el motivo de las desvinculaciones en la entidad.
Sin embargo no se cuenta con proceso de paz y salvo a funcionarios, lo que dificulta la entrega de los cargos y el proceso de transicion, se recomienda implementar este proceso </t>
  </si>
  <si>
    <t>No</t>
  </si>
  <si>
    <t xml:space="preserve">El mapa de riesgos institucional consolidado para la presente vigencia, incluye riesgos de corrupcion conforme a la version 6 de la guia de administracion del riesgo. </t>
  </si>
  <si>
    <t xml:space="preserve">El instituto cuenta con un plan de seguridad de la informacion el cual especifica los riesgos que se pueden presentar, asociados a la tecnología y las comunicaciones, de igual forma el mapa de riesgos institucional cuenta con riesgos informaticos y sus respectivas acciones de mitigacion. </t>
  </si>
  <si>
    <t xml:space="preserve">Se han adelantado reuniones de seguimiento a compromisos en procesos donde se han detectado falencias y posibles materializacion de riesgos, sin embargo estos no han sido cumplidos de manera eficiente y definitiva, por otro lado se cuenta con los diferentes comites institucionales definidos, sin embargo no se han realizado en su totalidad conforme a lo establecido en sus respectivos actos administrativos. </t>
  </si>
  <si>
    <t xml:space="preserve">Se cuenta con herramienta de indice de informacion reservada y clasificada, la cual fue actualizada en la vigencia anterior, se recomienda revision constante de la misma. </t>
  </si>
  <si>
    <t xml:space="preserve">Se tienen definidas las acciones de mitigacion y control de riesgos y sus respectivos seguimientos, se recomienda mayor rigor en el monitoreo de los riesgos establecidos por procesos y establecer planes de contingencia para evitar la materializacion de estos. </t>
  </si>
  <si>
    <t xml:space="preserve">Los canales de comunicación del instituto no se encuentran operando en su totalidad, ya que el link de pqrsd en pagina web no se encuentra funcional, por otro lado se hace necesaria la actualizacion constante de la pagina web institucional, acorde a las normas de transparencia vigentes. </t>
  </si>
  <si>
    <t xml:space="preserve">Las actividades de monitoreo supervision y control se encuentran operando de manera satisfactoria, a atraves del comité institucional de control interno, comité municipal de control interno, evaluacion del riesgo y seguimiento a planes de mejoramiento internos y externos. </t>
  </si>
  <si>
    <t>Segundo semestre de 2024</t>
  </si>
  <si>
    <t xml:space="preserve">Mediente resolucion 110 de octubre 8 de 2018 adopta el codigo de integridad del IMEBU, del cual hace parte integral el codigo de integridad, el cual especifica los valores del servicio publico y la manera en que se deben integrar al desarrollo de las funciones. 
Con base en lo anterior se llevaron a cabo actividades como la semana de la integridad, sin embargo para esta oficina una actividad en toda la vigencia se considera insuficiente, por otro lado no se socializaron los resultados que permita conocer el estado de implementacion y apropiacion del codigo de integridad y la toma de decisiones por parte de la alta direccion.  </t>
  </si>
  <si>
    <t xml:space="preserve">El IMEBU a través del plan de acción implementa los planes, programas y proyectos asociados al plan de desarrollo municipal y acorde a los objetivos institucionales.
Se recomienda fortalecer la planeacion estrategica institucional, que permita la articulacion de estos planes y lo requerido por la comunidad en general segun la misionalidad del instituto. </t>
  </si>
  <si>
    <t xml:space="preserve">El instituto se rige de acuerdo a lo establecido en el mapa de procesos y los procedimientos establecidos en cada uno de ellos, en el desarrollo de los mismos se cuenta con documentación establecida por el sistema de gestión de calidad como actas de reunión, informes de seguimiento, procedimientos por programas entre otros, que permiten conocer y soportar el estado de la gestión. 
Durante la vigencia 2024 no se programó ni ejecutó auditoría al SIGC, que permitiera conocer un estado real de los procesos documentados, que permita la implementacion de acciones correctivas y/o la toma de decisiones por parte de la alta direccion. </t>
  </si>
  <si>
    <t xml:space="preserve">Durante el segundo semestre de la vigencia 2024 no se realizó jornada de induccion y reinduccion, conforme al articulo 7 del decreto 1567 de 1998, el plan de bienestar se llevo a cabo según lo programado y el plan de capacitacion requiere de mayor retroalimentacion con respecto a las funciones institucionales. </t>
  </si>
  <si>
    <t xml:space="preserve">A pesar de que el instituto solo cuenta con un funcionario en carrera administrativa y los requerimientos realizados por la oficina de control interno, no se tiene de evidencia de que se haya realizado evaluacion de desempeño del funcionario conforme al marco que lo rige.  </t>
  </si>
  <si>
    <t xml:space="preserve">Para el segundo semestre de 2024 se realizó audiencia publica de rendicion de cuentas, sin embargo no se cuenta con evidencia de plan de comunicaciones, estrategia y convocatoria general, asi mismo no se evidencia informe de rendicion de gestion para rendicion de cuentas publicado en pagina web. </t>
  </si>
  <si>
    <t xml:space="preserve">Los informes de gestion al concejo municipal no se encuentran publicados en pagina web, se vienen presentando de manera extemporanea a esa corporacion o no existe evidencia de la presentacion de los mismos. </t>
  </si>
  <si>
    <t xml:space="preserve">A través de los diferentes seguimientos (mapa de riesgos, auditorías internas, auditorías externas, informes de seguimiento, entre otros) se pueden identificar factores negativos que puedan incidir en el cumplimiento de los objetivos institucionales. 
Sin embargo no se vienen dando las condiciones necesarias para el desarrollo de las herramientas anteriormete descritas </t>
  </si>
  <si>
    <t xml:space="preserve">para la vigencia 2024 se suscribió mapa de riesgos institucional conforme a la guia de administracion del riesgo vigente, sin embargo en revisiones posteriores de la oficina de control interno, se sugirió la revision y actualizacion enfocado en la efectividad de las planteadas para la mitigacion de riesgo. </t>
  </si>
  <si>
    <t xml:space="preserve">No se realizaron las mesas tematicas con lideres de proceso, que permitiera la retroalimentacion del mapa de riesgos y las acciones planetadas, las evidencias de los ultimos dos cuatrimestres no fueron remitidos a la oficina de control interno. </t>
  </si>
  <si>
    <t xml:space="preserve">Desde la oficina de control interno, se vienen realizando seguimientos cuatrimestrales conforme lo indica la normatividad legal vigente, levantando las respectivas recomendaciones a la alta direccion, para la toma de decisiones, sin embargo el monitoreo con lideres de proceso no realizó y las recomendaciones dadas por la OCI no fueron tomadas en cuenta. </t>
  </si>
  <si>
    <t xml:space="preserve">Desde la OCI a traves de los diferentes seguimientos se vienen identificando deficiencias en el control de riesgos, los cuales han sido reportados a la alta direccion para tomar las medidas pertinentes, desde los lideres de proceso no se realizó retroalimentacion en la gestion de riesgos. </t>
  </si>
  <si>
    <t xml:space="preserve">El mapa de riesgos fue socializado al interior de la entidad, sin embargo no se programaron ni se llevaron a cabo mesas de trabajo con lideres de proceso que permitieran la retroalimentacion de los riesgos identificados. </t>
  </si>
  <si>
    <t xml:space="preserve">En el monitoreo de la vigencia 2024 no se evidenciaron acciones por parte de los lideres de procesos para avanzar en el cumplimiento de lo planteado en el mapa de riesgos y demas seguimientos y auditorias basados en riesgos ejecutados desde la OCI. </t>
  </si>
  <si>
    <t xml:space="preserve">Los seguimientos de la oficina de control interno se vienen realizando cuatrimestralmente, sin embargo no se cuenta con evidencia que las recomendaciones para el cumplimiento total de las acciones se vengan implementando, no se cuenta con evidencia de mesas de trabajo con lideres de proceso y no se ha dado cumplimiento a compromisos adquiridos en comités institucionales. </t>
  </si>
  <si>
    <t xml:space="preserve">Mediante la suscripcion de planes de mejoramiento cuando hubiere lugar con el fin de subsanar las consecuencias de materializacion de riesgos, compromisos adquiridos a traves de comites, se recomienda el cumplimiento estricto y oportuno de estos. 
En lo corrido de la vigencia los procesos de juridica y subdireaccion administrativa y financiera no suscribieron planes de mejoramiento con la OCI. </t>
  </si>
  <si>
    <t xml:space="preserve">La entidad cuenta con página web, línea pbx y correo institucional, sin embargo, el link de atención al ciudadano no ha sido implementado y puesto en funcionamiento, no se adelantaron las acciones administrativas que permitieran el funcionamiento del link como lo indica la norma. </t>
  </si>
  <si>
    <t xml:space="preserve">A parte de los canales habituales para la ciudadanía se da manejo a plataformas gubernamentales como Secop, Sigep y Sia contralorías.
Se recomienda la publicacion dentro del termino y como lo indica la norma en las plataformas mencionadas anteriormente. </t>
  </si>
  <si>
    <t xml:space="preserve">La información de interés general es publicada en la página web de la entidad y de organismos gubernamentales a través de secop, sigep, sia contralorías y sia observa.
Se requiere mantener actualizada la pagina web institucional, especificamente en asuntos presupuestales. </t>
  </si>
  <si>
    <t xml:space="preserve">De acuerdo con lo verificado en lo corrido de la vigencia, se evidenció que si bien los componentes se encuentra operando de manera integrada, existen falencias alarmanetes, especificamente en ambiente de control y evaluacion del riesgo, los esfuerzos en la socializacion del codigo de integridad no fueron suficientes, la planta de perosnal no viene siendo la necesaria para cubrir las necesidades misionales de la entidad, la documentacion como procesos y procedimientos no fue revisada, no se contó con evidencia de evaluacion de desempeño al funcionario de carrera administrativa y la evaluacion y monitoreo de riesgo no fue tenida en cuenta en gran parte de la vigencia. </t>
  </si>
  <si>
    <t xml:space="preserve">El sistema de control interno viene siendo efectivo en su operación, sin embargo se evidenciaron falencias e incumplimientos en compromisos adquiridos por lideres de proceso, que estan torpedeando el normal desarrollo de las funciones establecidas y por consiguiente los objetivos misionales.
Se requiere de mayor compromiso en el direccionamiento estrategico que permita el cumplimiento de los objetivos misionales y la ejecucion del presupuesto de inversion mediante una planeacion adecuada. </t>
  </si>
  <si>
    <t xml:space="preserve">La entidad desde la alta direccion, las subdirecciones, los comités institucionales y la auditoria interna, tiene interelacionadas las tres lineas de defensa y en cumplimiento de sus roles institucioales, se han evidenciando fallas en la segunda linea de defena respecto a incumplimiento de compromisos adquiridos en comités institucionales y se ha torpedeado el proceso auditor al no fluir la informacion requerida para tal fin. 
Se requiere el funcionamiento de los comités institucionales conforme lo establecido en los actos administrativos que los han adoptado al instituto y la normatividad legal vigente. </t>
  </si>
  <si>
    <t xml:space="preserve">La entidad no evidenció esfuerzos suficientes para la socializacion y apropiacion del codigo de integridad, la estructura organizaciónal no es suficiente para el cumplimiento de los objetivos misionales y no se han realizado esfuerzos encaminados al cumplimiento de las directrices presidenciales en cuanto a formalizacion laboral, la evaluacion del funcionario de carrera administrativa no se llevo a cabo para el primer semestre de la vigencia 2024, la desvinculacion de personal sigue careciendo de una herramienta como paz y salvos que garanticen la entrega oportuna del cargo y la continuidad de los procesos, el plan de capacitacion careció de retroalimentacion respecto a las funciones del personal y los informes de gestion no se estuvieron presentando con la oportunidad requerida. </t>
  </si>
  <si>
    <t xml:space="preserve">El mapa de riesgos institucional fue consolidado conforme a lo establecido en la guia de administracion del riesgo, se cuenta con las acciones de mitigacion establecidas, sin embargo los monitoreso desde la oficina de planeacion no se realizaron conforme a la norma, ni se llevaron a cabo mesas tematicas con los lideres de proceso para la retroalimentacion de las acciones correctivas.  
Desde la oficina de control interno en seguimientos y auditoria interna, levantó las respectivas obsrrvaciones y recomendaciones para la toma de decisiones en la alta direccion.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</si>
</sst>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9"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14"/>
      <name val="Calibri"/>
      <family val="2"/>
    </font>
    <font>
      <sz val="12"/>
      <name val="Calibri"/>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18">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1" fillId="0" borderId="2" xfId="0" applyFont="1" applyBorder="1" applyAlignment="1" applyProtection="1">
      <alignment horizontal="left" vertical="center" wrapText="1"/>
      <protection hidden="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1" fillId="0" borderId="3" xfId="0" applyFont="1"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1" fillId="0" borderId="4" xfId="0" applyFont="1" applyBorder="1" applyAlignment="1" applyProtection="1">
      <alignment horizontal="lef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1" fillId="0" borderId="7" xfId="0" applyFont="1" applyBorder="1" applyAlignment="1" applyProtection="1">
      <alignment horizontal="lef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1" fillId="0" borderId="6" xfId="0" applyFont="1" applyBorder="1" applyAlignment="1" applyProtection="1">
      <alignment horizontal="lef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0" fontId="44" fillId="10" borderId="12" xfId="0"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3" xfId="0"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3" xfId="0"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48" fillId="4" borderId="2" xfId="0" applyNumberFormat="1" applyFont="1" applyFill="1" applyBorder="1" applyAlignment="1" applyProtection="1">
      <alignment horizontal="center" vertical="center" wrapText="1"/>
      <protection locked="0"/>
    </xf>
    <xf numFmtId="49" fontId="48" fillId="4" borderId="84" xfId="0" applyNumberFormat="1" applyFont="1" applyFill="1" applyBorder="1" applyAlignment="1" applyProtection="1">
      <alignment horizontal="center" vertical="center" wrapText="1"/>
      <protection locked="0"/>
    </xf>
    <xf numFmtId="49" fontId="48" fillId="4" borderId="3" xfId="0" applyNumberFormat="1" applyFont="1" applyFill="1" applyBorder="1" applyAlignment="1" applyProtection="1">
      <alignment horizontal="center" vertical="center" wrapText="1"/>
      <protection locked="0"/>
    </xf>
    <xf numFmtId="49" fontId="48" fillId="4" borderId="85" xfId="0" applyNumberFormat="1" applyFont="1" applyFill="1" applyBorder="1" applyAlignment="1" applyProtection="1">
      <alignment horizontal="center" vertical="center" wrapText="1"/>
      <protection locked="0"/>
    </xf>
    <xf numFmtId="49" fontId="48" fillId="4" borderId="4" xfId="0" applyNumberFormat="1" applyFont="1" applyFill="1" applyBorder="1" applyAlignment="1" applyProtection="1">
      <alignment horizontal="center" vertical="center" wrapText="1"/>
      <protection locked="0"/>
    </xf>
    <xf numFmtId="49" fontId="48" fillId="4" borderId="86" xfId="0" applyNumberFormat="1" applyFont="1" applyFill="1" applyBorder="1" applyAlignment="1" applyProtection="1">
      <alignment horizontal="center" vertical="center" wrapText="1"/>
      <protection locked="0"/>
    </xf>
    <xf numFmtId="0" fontId="48" fillId="0" borderId="24" xfId="0" applyFont="1" applyBorder="1" applyAlignment="1" applyProtection="1">
      <alignment horizontal="center" vertical="center" wrapText="1"/>
      <protection locked="0"/>
    </xf>
    <xf numFmtId="0" fontId="48" fillId="0" borderId="1" xfId="0" applyFont="1" applyBorder="1" applyAlignment="1" applyProtection="1">
      <alignment horizontal="center" vertical="center" wrapText="1"/>
      <protection locked="0"/>
    </xf>
    <xf numFmtId="0" fontId="48" fillId="0" borderId="25" xfId="0" applyFont="1" applyBorder="1" applyAlignment="1" applyProtection="1">
      <alignment horizontal="center" vertical="center" wrapText="1"/>
      <protection locked="0"/>
    </xf>
    <xf numFmtId="0" fontId="52" fillId="12" borderId="0" xfId="0" applyFont="1" applyFill="1" applyAlignment="1">
      <alignment horizontal="center" vertical="center" wrapText="1"/>
    </xf>
    <xf numFmtId="0" fontId="57" fillId="0" borderId="24" xfId="0" applyFont="1" applyBorder="1" applyAlignment="1" applyProtection="1">
      <alignment horizontal="center" vertical="center" wrapText="1"/>
      <protection locked="0"/>
    </xf>
    <xf numFmtId="0" fontId="58" fillId="0" borderId="1" xfId="0" applyFont="1" applyBorder="1" applyAlignment="1" applyProtection="1">
      <alignment horizontal="center" vertical="center" wrapText="1"/>
      <protection locked="0"/>
    </xf>
    <xf numFmtId="0" fontId="58" fillId="0" borderId="25" xfId="0" applyFont="1" applyBorder="1" applyAlignment="1" applyProtection="1">
      <alignment horizontal="center" vertical="center" wrapText="1"/>
      <protection locked="0"/>
    </xf>
    <xf numFmtId="0" fontId="0" fillId="0" borderId="73" xfId="0" applyBorder="1" applyAlignment="1">
      <alignment horizontal="center"/>
    </xf>
    <xf numFmtId="0" fontId="0" fillId="0" borderId="1" xfId="0" applyBorder="1" applyAlignment="1">
      <alignment horizontal="center"/>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321470</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zoomScale="90" zoomScaleNormal="90" workbookViewId="0">
      <selection activeCell="B6" sqref="B6:H7"/>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52" t="s">
        <v>0</v>
      </c>
      <c r="C2" s="153"/>
      <c r="D2" s="153"/>
      <c r="E2" s="153"/>
      <c r="F2" s="153"/>
      <c r="G2" s="153"/>
      <c r="H2" s="154"/>
    </row>
    <row r="3" spans="2:8" ht="65.25" customHeight="1" x14ac:dyDescent="0.2">
      <c r="B3" s="155" t="s">
        <v>1</v>
      </c>
      <c r="C3" s="156"/>
      <c r="D3" s="156"/>
      <c r="E3" s="156"/>
      <c r="F3" s="156"/>
      <c r="G3" s="156"/>
      <c r="H3" s="157"/>
    </row>
    <row r="4" spans="2:8" ht="82.5" customHeight="1" x14ac:dyDescent="0.2">
      <c r="B4" s="155"/>
      <c r="C4" s="156"/>
      <c r="D4" s="156"/>
      <c r="E4" s="156"/>
      <c r="F4" s="156"/>
      <c r="G4" s="156"/>
      <c r="H4" s="157"/>
    </row>
    <row r="5" spans="2:8" ht="21.75" customHeight="1" x14ac:dyDescent="0.2">
      <c r="B5" s="158" t="s">
        <v>2</v>
      </c>
      <c r="C5" s="159"/>
      <c r="D5" s="159"/>
      <c r="E5" s="159"/>
      <c r="F5" s="159"/>
      <c r="G5" s="159"/>
      <c r="H5" s="160"/>
    </row>
    <row r="6" spans="2:8" ht="42" customHeight="1" x14ac:dyDescent="0.2">
      <c r="B6" s="161" t="s">
        <v>3</v>
      </c>
      <c r="C6" s="162"/>
      <c r="D6" s="162"/>
      <c r="E6" s="162"/>
      <c r="F6" s="162"/>
      <c r="G6" s="162"/>
      <c r="H6" s="163"/>
    </row>
    <row r="7" spans="2:8" ht="14.25" customHeight="1" x14ac:dyDescent="0.2">
      <c r="B7" s="161"/>
      <c r="C7" s="162"/>
      <c r="D7" s="162"/>
      <c r="E7" s="162"/>
      <c r="F7" s="162"/>
      <c r="G7" s="162"/>
      <c r="H7" s="163"/>
    </row>
    <row r="8" spans="2:8" ht="12.75" customHeight="1" thickBot="1" x14ac:dyDescent="0.25">
      <c r="B8" s="54"/>
      <c r="C8" s="48"/>
      <c r="D8" s="63"/>
      <c r="E8" s="64"/>
      <c r="F8" s="64"/>
      <c r="G8" s="62"/>
      <c r="H8" s="56"/>
    </row>
    <row r="9" spans="2:8" ht="21" customHeight="1" thickTop="1" x14ac:dyDescent="0.2">
      <c r="B9" s="54"/>
      <c r="C9" s="164" t="s">
        <v>4</v>
      </c>
      <c r="D9" s="165"/>
      <c r="E9" s="166" t="s">
        <v>5</v>
      </c>
      <c r="F9" s="167"/>
      <c r="G9" s="48"/>
      <c r="H9" s="56"/>
    </row>
    <row r="10" spans="2:8" ht="37.5" customHeight="1" x14ac:dyDescent="0.2">
      <c r="B10" s="54"/>
      <c r="C10" s="168" t="s">
        <v>6</v>
      </c>
      <c r="D10" s="169"/>
      <c r="E10" s="170" t="s">
        <v>7</v>
      </c>
      <c r="F10" s="171"/>
      <c r="G10" s="48"/>
      <c r="H10" s="56"/>
    </row>
    <row r="11" spans="2:8" ht="39.75" customHeight="1" x14ac:dyDescent="0.2">
      <c r="B11" s="54"/>
      <c r="C11" s="172" t="s">
        <v>8</v>
      </c>
      <c r="D11" s="173"/>
      <c r="E11" s="174" t="s">
        <v>9</v>
      </c>
      <c r="F11" s="175"/>
      <c r="G11" s="48"/>
      <c r="H11" s="56"/>
    </row>
    <row r="12" spans="2:8" ht="59.25" customHeight="1" x14ac:dyDescent="0.2">
      <c r="B12" s="54"/>
      <c r="C12" s="172" t="s">
        <v>10</v>
      </c>
      <c r="D12" s="173"/>
      <c r="E12" s="176" t="s">
        <v>11</v>
      </c>
      <c r="F12" s="177"/>
      <c r="G12" s="48"/>
      <c r="H12" s="56"/>
    </row>
    <row r="13" spans="2:8" ht="33.75" customHeight="1" x14ac:dyDescent="0.2">
      <c r="B13" s="54"/>
      <c r="C13" s="182" t="s">
        <v>12</v>
      </c>
      <c r="D13" s="183"/>
      <c r="E13" s="174" t="s">
        <v>13</v>
      </c>
      <c r="F13" s="175"/>
      <c r="G13" s="48"/>
      <c r="H13" s="56"/>
    </row>
    <row r="14" spans="2:8" ht="19.5" customHeight="1" x14ac:dyDescent="0.2">
      <c r="B14" s="54"/>
      <c r="C14" s="60"/>
      <c r="D14" s="60"/>
      <c r="E14" s="61"/>
      <c r="F14" s="61"/>
      <c r="G14" s="48"/>
      <c r="H14" s="56"/>
    </row>
    <row r="15" spans="2:8" ht="37.5" customHeight="1" thickBot="1" x14ac:dyDescent="0.25">
      <c r="B15" s="178" t="s">
        <v>14</v>
      </c>
      <c r="C15" s="179"/>
      <c r="D15" s="179"/>
      <c r="E15" s="179"/>
      <c r="F15" s="179"/>
      <c r="G15" s="179"/>
      <c r="H15" s="180"/>
    </row>
    <row r="16" spans="2:8" ht="27.75" customHeight="1" thickBot="1" x14ac:dyDescent="0.25">
      <c r="B16" s="54"/>
      <c r="C16" s="184" t="s">
        <v>15</v>
      </c>
      <c r="D16" s="185"/>
      <c r="E16" s="185" t="s">
        <v>16</v>
      </c>
      <c r="F16" s="196"/>
      <c r="G16" s="48"/>
      <c r="H16" s="56"/>
    </row>
    <row r="17" spans="2:8" ht="27.75" customHeight="1" x14ac:dyDescent="0.2">
      <c r="B17" s="54"/>
      <c r="C17" s="197" t="s">
        <v>17</v>
      </c>
      <c r="D17" s="198"/>
      <c r="E17" s="199" t="s">
        <v>18</v>
      </c>
      <c r="F17" s="200"/>
      <c r="G17" s="93"/>
      <c r="H17" s="56"/>
    </row>
    <row r="18" spans="2:8" ht="41.25" customHeight="1" x14ac:dyDescent="0.2">
      <c r="B18" s="54"/>
      <c r="C18" s="186" t="s">
        <v>19</v>
      </c>
      <c r="D18" s="187"/>
      <c r="E18" s="188" t="s">
        <v>20</v>
      </c>
      <c r="F18" s="189"/>
      <c r="G18" s="94"/>
      <c r="H18" s="56"/>
    </row>
    <row r="19" spans="2:8" ht="37.5" customHeight="1" thickBot="1" x14ac:dyDescent="0.25">
      <c r="B19" s="54"/>
      <c r="C19" s="190" t="s">
        <v>21</v>
      </c>
      <c r="D19" s="191"/>
      <c r="E19" s="192" t="s">
        <v>22</v>
      </c>
      <c r="F19" s="193"/>
      <c r="G19" s="94"/>
      <c r="H19" s="56"/>
    </row>
    <row r="20" spans="2:8" ht="11.25" customHeight="1" x14ac:dyDescent="0.2">
      <c r="B20" s="49"/>
      <c r="C20" s="50"/>
      <c r="D20" s="50"/>
      <c r="E20" s="50"/>
      <c r="F20" s="50"/>
      <c r="G20" s="50"/>
      <c r="H20" s="51"/>
    </row>
    <row r="21" spans="2:8" ht="14.25" customHeight="1" x14ac:dyDescent="0.2">
      <c r="B21" s="52"/>
      <c r="C21" s="194"/>
      <c r="D21" s="194"/>
      <c r="E21" s="195"/>
      <c r="F21" s="195"/>
      <c r="G21" s="195"/>
      <c r="H21" s="53"/>
    </row>
    <row r="22" spans="2:8" ht="36" customHeight="1" x14ac:dyDescent="0.2">
      <c r="B22" s="178" t="s">
        <v>23</v>
      </c>
      <c r="C22" s="179"/>
      <c r="D22" s="179"/>
      <c r="E22" s="179"/>
      <c r="F22" s="179"/>
      <c r="G22" s="179"/>
      <c r="H22" s="180"/>
    </row>
    <row r="23" spans="2:8" ht="13.5" x14ac:dyDescent="0.2">
      <c r="B23" s="54"/>
      <c r="C23" s="55"/>
      <c r="D23" s="55"/>
      <c r="E23" s="181"/>
      <c r="F23" s="181"/>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 ref="C10:D10"/>
    <mergeCell ref="E10:F10"/>
    <mergeCell ref="C11:D11"/>
    <mergeCell ref="E11:F11"/>
    <mergeCell ref="C12:D12"/>
    <mergeCell ref="E12:F12"/>
    <mergeCell ref="B2:H2"/>
    <mergeCell ref="B3:H4"/>
    <mergeCell ref="B5:H5"/>
    <mergeCell ref="B6:H7"/>
    <mergeCell ref="C9:D9"/>
    <mergeCell ref="E9:F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opLeftCell="B16" zoomScale="80" zoomScaleNormal="80" workbookViewId="0">
      <selection activeCell="H19" sqref="H19"/>
    </sheetView>
  </sheetViews>
  <sheetFormatPr baseColWidth="10" defaultColWidth="11.42578125" defaultRowHeight="16.5" x14ac:dyDescent="0.3"/>
  <cols>
    <col min="1" max="1" width="3" style="44" hidden="1" customWidth="1"/>
    <col min="2" max="2" width="9.42578125" style="44" customWidth="1"/>
    <col min="3" max="3" width="27.140625" style="44" customWidth="1"/>
    <col min="4" max="4" width="46.5703125" style="44" customWidth="1"/>
    <col min="5" max="5" width="10.140625" style="66" customWidth="1"/>
    <col min="6" max="6" width="44.5703125" style="66" customWidth="1"/>
    <col min="7" max="7" width="21.42578125" style="44" customWidth="1"/>
    <col min="8" max="8" width="60.7109375" style="44" customWidth="1"/>
    <col min="9"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232" t="s">
        <v>24</v>
      </c>
      <c r="C14" s="232"/>
      <c r="D14" s="232"/>
      <c r="E14" s="232"/>
      <c r="F14" s="232"/>
      <c r="G14" s="232"/>
      <c r="H14" s="232"/>
      <c r="I14" s="232"/>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135" customHeight="1" x14ac:dyDescent="0.25">
      <c r="A16" s="95" t="str">
        <f>1&amp;E16</f>
        <v>1a</v>
      </c>
      <c r="B16" s="243" t="s">
        <v>31</v>
      </c>
      <c r="C16" s="207" t="s">
        <v>32</v>
      </c>
      <c r="D16" s="240" t="s">
        <v>33</v>
      </c>
      <c r="E16" s="75" t="s">
        <v>34</v>
      </c>
      <c r="F16" s="76" t="s">
        <v>35</v>
      </c>
      <c r="G16" s="103" t="s">
        <v>38</v>
      </c>
      <c r="H16" s="104" t="s">
        <v>209</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192" customHeight="1" x14ac:dyDescent="0.25">
      <c r="A17" s="95" t="str">
        <f t="shared" ref="A17:A27" si="1">1&amp;E17</f>
        <v>1b</v>
      </c>
      <c r="B17" s="244"/>
      <c r="C17" s="208"/>
      <c r="D17" s="241"/>
      <c r="E17" s="77" t="s">
        <v>36</v>
      </c>
      <c r="F17" s="78" t="s">
        <v>37</v>
      </c>
      <c r="G17" s="105" t="s">
        <v>75</v>
      </c>
      <c r="H17" s="106" t="s">
        <v>221</v>
      </c>
      <c r="I17" s="98" t="str">
        <f t="shared" ref="I17:I59" si="2">+IF(G17="Si","Mantenimiento del control",IF(G17="En proceso","Oportunidad de mejora","Deficiencia de control"))</f>
        <v>Oportunidad de mejora</v>
      </c>
      <c r="J17" s="99">
        <f t="shared" si="0"/>
        <v>10</v>
      </c>
      <c r="K17" s="97">
        <v>0.1234</v>
      </c>
      <c r="L17" s="97">
        <f t="shared" ref="L17:L59" si="3">+J17+K17</f>
        <v>10.1234</v>
      </c>
    </row>
    <row r="18" spans="1:32" s="46" customFormat="1" ht="123" customHeight="1" x14ac:dyDescent="0.25">
      <c r="A18" s="95" t="str">
        <f t="shared" si="1"/>
        <v>1c</v>
      </c>
      <c r="B18" s="244"/>
      <c r="C18" s="208"/>
      <c r="D18" s="241"/>
      <c r="E18" s="77" t="s">
        <v>39</v>
      </c>
      <c r="F18" s="79" t="s">
        <v>40</v>
      </c>
      <c r="G18" s="105" t="s">
        <v>38</v>
      </c>
      <c r="H18" s="107" t="s">
        <v>222</v>
      </c>
      <c r="I18" s="100" t="str">
        <f t="shared" si="2"/>
        <v>Mantenimiento del control</v>
      </c>
      <c r="J18" s="99">
        <f t="shared" si="0"/>
        <v>20</v>
      </c>
      <c r="K18" s="97">
        <v>0.12345</v>
      </c>
      <c r="L18" s="97">
        <f t="shared" si="3"/>
        <v>20.123449999999998</v>
      </c>
    </row>
    <row r="19" spans="1:32" s="46" customFormat="1" ht="93" customHeight="1" x14ac:dyDescent="0.25">
      <c r="A19" s="95" t="str">
        <f t="shared" si="1"/>
        <v>1d</v>
      </c>
      <c r="B19" s="244"/>
      <c r="C19" s="208"/>
      <c r="D19" s="241"/>
      <c r="E19" s="77" t="s">
        <v>41</v>
      </c>
      <c r="F19" s="79" t="s">
        <v>42</v>
      </c>
      <c r="G19" s="105" t="s">
        <v>75</v>
      </c>
      <c r="H19" s="107" t="s">
        <v>210</v>
      </c>
      <c r="I19" s="100" t="str">
        <f t="shared" si="2"/>
        <v>Oportunidad de mejora</v>
      </c>
      <c r="J19" s="99">
        <f t="shared" si="0"/>
        <v>10</v>
      </c>
      <c r="K19" s="97">
        <v>0.123456</v>
      </c>
      <c r="L19" s="97">
        <f t="shared" si="3"/>
        <v>10.123455999999999</v>
      </c>
    </row>
    <row r="20" spans="1:32" s="46" customFormat="1" ht="104.25" customHeight="1" x14ac:dyDescent="0.25">
      <c r="A20" s="95" t="str">
        <f t="shared" si="1"/>
        <v>1e</v>
      </c>
      <c r="B20" s="244"/>
      <c r="C20" s="208"/>
      <c r="D20" s="241"/>
      <c r="E20" s="77" t="s">
        <v>43</v>
      </c>
      <c r="F20" s="79" t="s">
        <v>44</v>
      </c>
      <c r="G20" s="105" t="s">
        <v>38</v>
      </c>
      <c r="H20" s="107" t="s">
        <v>204</v>
      </c>
      <c r="I20" s="100" t="str">
        <f t="shared" si="2"/>
        <v>Mantenimiento del control</v>
      </c>
      <c r="J20" s="99">
        <f t="shared" si="0"/>
        <v>20</v>
      </c>
      <c r="K20" s="97">
        <v>0.12345678</v>
      </c>
      <c r="L20" s="97">
        <f t="shared" si="3"/>
        <v>20.123456780000001</v>
      </c>
    </row>
    <row r="21" spans="1:32" s="46" customFormat="1" ht="173.25" customHeight="1" x14ac:dyDescent="0.25">
      <c r="A21" s="95" t="str">
        <f t="shared" si="1"/>
        <v>1f</v>
      </c>
      <c r="B21" s="244"/>
      <c r="C21" s="208"/>
      <c r="D21" s="241"/>
      <c r="E21" s="77" t="s">
        <v>45</v>
      </c>
      <c r="F21" s="79" t="s">
        <v>46</v>
      </c>
      <c r="G21" s="105" t="s">
        <v>75</v>
      </c>
      <c r="H21" s="107" t="s">
        <v>223</v>
      </c>
      <c r="I21" s="100" t="str">
        <f t="shared" si="2"/>
        <v>Oportunidad de mejora</v>
      </c>
      <c r="J21" s="99">
        <f t="shared" si="0"/>
        <v>10</v>
      </c>
      <c r="K21" s="97">
        <v>0.123456789</v>
      </c>
      <c r="L21" s="97">
        <f t="shared" si="3"/>
        <v>10.123456789</v>
      </c>
    </row>
    <row r="22" spans="1:32" s="46" customFormat="1" ht="66" x14ac:dyDescent="0.25">
      <c r="A22" s="95" t="str">
        <f t="shared" si="1"/>
        <v>1g</v>
      </c>
      <c r="B22" s="244"/>
      <c r="C22" s="208"/>
      <c r="D22" s="241"/>
      <c r="E22" s="77" t="s">
        <v>47</v>
      </c>
      <c r="F22" s="79" t="s">
        <v>48</v>
      </c>
      <c r="G22" s="105" t="s">
        <v>38</v>
      </c>
      <c r="H22" s="107" t="s">
        <v>191</v>
      </c>
      <c r="I22" s="100" t="str">
        <f t="shared" si="2"/>
        <v>Mantenimiento del control</v>
      </c>
      <c r="J22" s="99">
        <f t="shared" si="0"/>
        <v>20</v>
      </c>
      <c r="K22" s="97">
        <v>0.12345678910000001</v>
      </c>
      <c r="L22" s="97">
        <f t="shared" si="3"/>
        <v>20.1234567891</v>
      </c>
    </row>
    <row r="23" spans="1:32" s="46" customFormat="1" ht="82.5" x14ac:dyDescent="0.25">
      <c r="A23" s="95" t="str">
        <f t="shared" si="1"/>
        <v>1h</v>
      </c>
      <c r="B23" s="244"/>
      <c r="C23" s="208"/>
      <c r="D23" s="241"/>
      <c r="E23" s="77" t="s">
        <v>49</v>
      </c>
      <c r="F23" s="79" t="s">
        <v>50</v>
      </c>
      <c r="G23" s="105" t="s">
        <v>75</v>
      </c>
      <c r="H23" s="107" t="s">
        <v>224</v>
      </c>
      <c r="I23" s="100" t="str">
        <f t="shared" si="2"/>
        <v>Oportunidad de mejora</v>
      </c>
      <c r="J23" s="99">
        <f t="shared" si="0"/>
        <v>10</v>
      </c>
      <c r="K23" s="97">
        <v>0.12345678911999999</v>
      </c>
      <c r="L23" s="97">
        <f t="shared" si="3"/>
        <v>10.12345678912</v>
      </c>
    </row>
    <row r="24" spans="1:32" s="46" customFormat="1" ht="66" x14ac:dyDescent="0.25">
      <c r="A24" s="95" t="str">
        <f t="shared" si="1"/>
        <v>1i</v>
      </c>
      <c r="B24" s="244"/>
      <c r="C24" s="208"/>
      <c r="D24" s="241"/>
      <c r="E24" s="77" t="s">
        <v>51</v>
      </c>
      <c r="F24" s="79" t="s">
        <v>52</v>
      </c>
      <c r="G24" s="105" t="s">
        <v>212</v>
      </c>
      <c r="H24" s="107" t="s">
        <v>225</v>
      </c>
      <c r="I24" s="100" t="str">
        <f t="shared" si="2"/>
        <v>Deficiencia de control</v>
      </c>
      <c r="J24" s="99">
        <f t="shared" si="0"/>
        <v>0</v>
      </c>
      <c r="K24" s="97">
        <v>0.123456789123</v>
      </c>
      <c r="L24" s="97">
        <f t="shared" si="3"/>
        <v>0.123456789123</v>
      </c>
    </row>
    <row r="25" spans="1:32" s="46" customFormat="1" ht="132" x14ac:dyDescent="0.25">
      <c r="A25" s="95" t="str">
        <f t="shared" si="1"/>
        <v>1j</v>
      </c>
      <c r="B25" s="244"/>
      <c r="C25" s="208"/>
      <c r="D25" s="241"/>
      <c r="E25" s="77" t="s">
        <v>53</v>
      </c>
      <c r="F25" s="79" t="s">
        <v>54</v>
      </c>
      <c r="G25" s="105" t="s">
        <v>75</v>
      </c>
      <c r="H25" s="107" t="s">
        <v>211</v>
      </c>
      <c r="I25" s="100" t="str">
        <f t="shared" si="2"/>
        <v>Oportunidad de mejora</v>
      </c>
      <c r="J25" s="99">
        <f t="shared" si="0"/>
        <v>10</v>
      </c>
      <c r="K25" s="97">
        <v>0.1234567891234</v>
      </c>
      <c r="L25" s="97">
        <f t="shared" si="3"/>
        <v>10.1234567891234</v>
      </c>
    </row>
    <row r="26" spans="1:32" s="46" customFormat="1" ht="82.5" x14ac:dyDescent="0.25">
      <c r="A26" s="95" t="str">
        <f t="shared" si="1"/>
        <v>1k</v>
      </c>
      <c r="B26" s="244"/>
      <c r="C26" s="208"/>
      <c r="D26" s="241"/>
      <c r="E26" s="77" t="s">
        <v>55</v>
      </c>
      <c r="F26" s="79" t="s">
        <v>56</v>
      </c>
      <c r="G26" s="105" t="s">
        <v>75</v>
      </c>
      <c r="H26" s="107" t="s">
        <v>226</v>
      </c>
      <c r="I26" s="100" t="str">
        <f t="shared" si="2"/>
        <v>Oportunidad de mejora</v>
      </c>
      <c r="J26" s="99">
        <f t="shared" si="0"/>
        <v>10</v>
      </c>
      <c r="K26" s="97">
        <v>0.12345678912345</v>
      </c>
      <c r="L26" s="97">
        <f t="shared" si="3"/>
        <v>10.12345678912345</v>
      </c>
    </row>
    <row r="27" spans="1:32" s="46" customFormat="1" ht="66.75" thickBot="1" x14ac:dyDescent="0.3">
      <c r="A27" s="95" t="str">
        <f t="shared" si="1"/>
        <v>1l</v>
      </c>
      <c r="B27" s="245"/>
      <c r="C27" s="209"/>
      <c r="D27" s="242"/>
      <c r="E27" s="80" t="s">
        <v>57</v>
      </c>
      <c r="F27" s="81" t="s">
        <v>58</v>
      </c>
      <c r="G27" s="108" t="s">
        <v>212</v>
      </c>
      <c r="H27" s="109" t="s">
        <v>227</v>
      </c>
      <c r="I27" s="101" t="str">
        <f t="shared" si="2"/>
        <v>Deficiencia de control</v>
      </c>
      <c r="J27" s="99">
        <f t="shared" si="0"/>
        <v>0</v>
      </c>
      <c r="K27" s="97">
        <v>0.12345678912345601</v>
      </c>
      <c r="L27" s="97">
        <f t="shared" si="3"/>
        <v>0.12345678912345601</v>
      </c>
    </row>
    <row r="28" spans="1:32" s="46" customFormat="1" ht="115.5" x14ac:dyDescent="0.25">
      <c r="A28" s="95" t="str">
        <f>2&amp;E28</f>
        <v>2a</v>
      </c>
      <c r="B28" s="246" t="s">
        <v>59</v>
      </c>
      <c r="C28" s="210" t="s">
        <v>60</v>
      </c>
      <c r="D28" s="249" t="s">
        <v>61</v>
      </c>
      <c r="E28" s="75" t="s">
        <v>34</v>
      </c>
      <c r="F28" s="76" t="s">
        <v>62</v>
      </c>
      <c r="G28" s="103" t="s">
        <v>75</v>
      </c>
      <c r="H28" s="104" t="s">
        <v>228</v>
      </c>
      <c r="I28" s="96" t="str">
        <f t="shared" si="2"/>
        <v>Oportunidad de mejora</v>
      </c>
      <c r="J28" s="97">
        <f>+IF(G28="Si",40,IF(G28="En proceso",30,20))</f>
        <v>30</v>
      </c>
      <c r="K28" s="97">
        <v>0.23</v>
      </c>
      <c r="L28" s="97">
        <f t="shared" si="3"/>
        <v>30.23</v>
      </c>
    </row>
    <row r="29" spans="1:32" s="46" customFormat="1" ht="82.5" x14ac:dyDescent="0.25">
      <c r="A29" s="95" t="str">
        <f t="shared" ref="A29:A31" si="4">2&amp;E29</f>
        <v>2b</v>
      </c>
      <c r="B29" s="247"/>
      <c r="C29" s="211"/>
      <c r="D29" s="225"/>
      <c r="E29" s="77" t="s">
        <v>36</v>
      </c>
      <c r="F29" s="79" t="s">
        <v>63</v>
      </c>
      <c r="G29" s="105" t="s">
        <v>75</v>
      </c>
      <c r="H29" s="107" t="s">
        <v>229</v>
      </c>
      <c r="I29" s="100" t="str">
        <f t="shared" si="2"/>
        <v>Oportunidad de mejora</v>
      </c>
      <c r="J29" s="97">
        <f>+IF(G29="Si",40,IF(G29="En proceso",30,20))</f>
        <v>30</v>
      </c>
      <c r="K29" s="97">
        <v>0.23400000000000001</v>
      </c>
      <c r="L29" s="97">
        <f t="shared" si="3"/>
        <v>30.234000000000002</v>
      </c>
    </row>
    <row r="30" spans="1:32" s="46" customFormat="1" ht="49.5" x14ac:dyDescent="0.25">
      <c r="A30" s="95" t="str">
        <f t="shared" si="4"/>
        <v>2c</v>
      </c>
      <c r="B30" s="247"/>
      <c r="C30" s="211"/>
      <c r="D30" s="225"/>
      <c r="E30" s="77" t="s">
        <v>39</v>
      </c>
      <c r="F30" s="79" t="s">
        <v>64</v>
      </c>
      <c r="G30" s="105" t="s">
        <v>38</v>
      </c>
      <c r="H30" s="107" t="s">
        <v>213</v>
      </c>
      <c r="I30" s="100" t="str">
        <f t="shared" si="2"/>
        <v>Mantenimiento del control</v>
      </c>
      <c r="J30" s="97">
        <f>+IF(G30="Si",40,IF(G30="En proceso",30,20))</f>
        <v>40</v>
      </c>
      <c r="K30" s="97">
        <v>0.23449999999999999</v>
      </c>
      <c r="L30" s="97">
        <f t="shared" si="3"/>
        <v>40.234499999999997</v>
      </c>
    </row>
    <row r="31" spans="1:32" s="46" customFormat="1" ht="66.75" thickBot="1" x14ac:dyDescent="0.3">
      <c r="A31" s="95" t="str">
        <f t="shared" si="4"/>
        <v>2d</v>
      </c>
      <c r="B31" s="248"/>
      <c r="C31" s="212"/>
      <c r="D31" s="250"/>
      <c r="E31" s="80" t="s">
        <v>41</v>
      </c>
      <c r="F31" s="81" t="s">
        <v>65</v>
      </c>
      <c r="G31" s="108" t="s">
        <v>38</v>
      </c>
      <c r="H31" s="109" t="s">
        <v>214</v>
      </c>
      <c r="I31" s="101" t="str">
        <f t="shared" si="2"/>
        <v>Mantenimiento del control</v>
      </c>
      <c r="J31" s="97">
        <f>+IF(G31="Si",40,IF(G31="En proceso",30,20))</f>
        <v>40</v>
      </c>
      <c r="K31" s="97">
        <v>0.23455999999999999</v>
      </c>
      <c r="L31" s="97">
        <f t="shared" si="3"/>
        <v>40.234560000000002</v>
      </c>
    </row>
    <row r="32" spans="1:32" s="46" customFormat="1" ht="82.5" customHeight="1" x14ac:dyDescent="0.25">
      <c r="A32" s="95" t="str">
        <f>3&amp;E32</f>
        <v>3a</v>
      </c>
      <c r="B32" s="222" t="s">
        <v>66</v>
      </c>
      <c r="C32" s="222" t="s">
        <v>60</v>
      </c>
      <c r="D32" s="223" t="s">
        <v>67</v>
      </c>
      <c r="E32" s="77" t="s">
        <v>34</v>
      </c>
      <c r="F32" s="79" t="s">
        <v>68</v>
      </c>
      <c r="G32" s="105" t="s">
        <v>212</v>
      </c>
      <c r="H32" s="107" t="s">
        <v>230</v>
      </c>
      <c r="I32" s="100" t="str">
        <f t="shared" si="2"/>
        <v>Deficiencia de control</v>
      </c>
      <c r="J32" s="97">
        <f t="shared" ref="J32:J37" si="5">+IF(G32="Si",40,IF(G32="En proceso",30,20))</f>
        <v>20</v>
      </c>
      <c r="K32" s="102">
        <v>0.234567</v>
      </c>
      <c r="L32" s="97">
        <f t="shared" ref="L32:L37" si="6">+J32+K32</f>
        <v>20.234566999999998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99" x14ac:dyDescent="0.25">
      <c r="A33" s="95" t="str">
        <f t="shared" ref="A33:A34" si="7">3&amp;E33</f>
        <v>3b</v>
      </c>
      <c r="B33" s="222"/>
      <c r="C33" s="222"/>
      <c r="D33" s="223"/>
      <c r="E33" s="77" t="s">
        <v>36</v>
      </c>
      <c r="F33" s="79" t="s">
        <v>69</v>
      </c>
      <c r="G33" s="105" t="s">
        <v>75</v>
      </c>
      <c r="H33" s="107" t="s">
        <v>231</v>
      </c>
      <c r="I33" s="100" t="str">
        <f t="shared" si="2"/>
        <v>Oportunidad de mejora</v>
      </c>
      <c r="J33" s="97">
        <f t="shared" si="5"/>
        <v>30</v>
      </c>
      <c r="K33" s="102">
        <v>0.23456779999999999</v>
      </c>
      <c r="L33" s="97">
        <f t="shared" si="6"/>
        <v>30.234567800000001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123" customHeight="1" thickBot="1" x14ac:dyDescent="0.3">
      <c r="A34" s="95" t="str">
        <f t="shared" si="7"/>
        <v>3c</v>
      </c>
      <c r="B34" s="222"/>
      <c r="C34" s="222"/>
      <c r="D34" s="223"/>
      <c r="E34" s="77" t="s">
        <v>39</v>
      </c>
      <c r="F34" s="79" t="s">
        <v>70</v>
      </c>
      <c r="G34" s="105" t="s">
        <v>75</v>
      </c>
      <c r="H34" s="107" t="s">
        <v>232</v>
      </c>
      <c r="I34" s="100" t="str">
        <f t="shared" si="2"/>
        <v>Oportunidad de mejora</v>
      </c>
      <c r="J34" s="97">
        <f t="shared" si="5"/>
        <v>30</v>
      </c>
      <c r="K34" s="102">
        <v>0.23456789</v>
      </c>
      <c r="L34" s="97">
        <f t="shared" si="6"/>
        <v>30.234567890000001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5.25" customHeight="1" x14ac:dyDescent="0.25">
      <c r="A35" s="95" t="str">
        <f>4&amp;E35</f>
        <v>4a</v>
      </c>
      <c r="B35" s="224" t="s">
        <v>71</v>
      </c>
      <c r="C35" s="211" t="s">
        <v>60</v>
      </c>
      <c r="D35" s="225" t="s">
        <v>72</v>
      </c>
      <c r="E35" s="75" t="s">
        <v>34</v>
      </c>
      <c r="F35" s="76" t="s">
        <v>73</v>
      </c>
      <c r="G35" s="103" t="s">
        <v>75</v>
      </c>
      <c r="H35" s="104" t="s">
        <v>233</v>
      </c>
      <c r="I35" s="96" t="str">
        <f t="shared" si="2"/>
        <v>Oportunidad de mejora</v>
      </c>
      <c r="J35" s="97">
        <f t="shared" si="5"/>
        <v>30</v>
      </c>
      <c r="K35" s="102">
        <v>0.23456789119999999</v>
      </c>
      <c r="L35" s="97">
        <f t="shared" si="6"/>
        <v>30.234567891200001</v>
      </c>
      <c r="M35" s="45"/>
      <c r="N35" s="45"/>
      <c r="O35" s="45"/>
      <c r="P35" s="45"/>
      <c r="Q35" s="45"/>
    </row>
    <row r="36" spans="1:32" s="46" customFormat="1" ht="87" customHeight="1" x14ac:dyDescent="0.25">
      <c r="A36" s="95" t="str">
        <f t="shared" ref="A36:A37" si="8">4&amp;E36</f>
        <v>4b</v>
      </c>
      <c r="B36" s="224"/>
      <c r="C36" s="211"/>
      <c r="D36" s="225"/>
      <c r="E36" s="77" t="s">
        <v>36</v>
      </c>
      <c r="F36" s="79" t="s">
        <v>74</v>
      </c>
      <c r="G36" s="105" t="s">
        <v>212</v>
      </c>
      <c r="H36" s="107" t="s">
        <v>234</v>
      </c>
      <c r="I36" s="100" t="str">
        <f t="shared" si="2"/>
        <v>Deficiencia de control</v>
      </c>
      <c r="J36" s="97">
        <f t="shared" si="5"/>
        <v>20</v>
      </c>
      <c r="K36" s="102">
        <v>0.23456789122999999</v>
      </c>
      <c r="L36" s="97">
        <f t="shared" si="6"/>
        <v>20.23456789123</v>
      </c>
      <c r="M36" s="45"/>
      <c r="N36" s="45"/>
      <c r="O36" s="45"/>
      <c r="P36" s="45"/>
      <c r="Q36" s="45"/>
    </row>
    <row r="37" spans="1:32" s="46" customFormat="1" ht="106.5" customHeight="1" thickBot="1" x14ac:dyDescent="0.3">
      <c r="A37" s="95" t="str">
        <f t="shared" si="8"/>
        <v>4c</v>
      </c>
      <c r="B37" s="224"/>
      <c r="C37" s="211"/>
      <c r="D37" s="225"/>
      <c r="E37" s="77" t="s">
        <v>39</v>
      </c>
      <c r="F37" s="79" t="s">
        <v>76</v>
      </c>
      <c r="G37" s="105" t="s">
        <v>75</v>
      </c>
      <c r="H37" s="107" t="s">
        <v>215</v>
      </c>
      <c r="I37" s="100" t="str">
        <f t="shared" si="2"/>
        <v>Oportunidad de mejora</v>
      </c>
      <c r="J37" s="97">
        <f t="shared" si="5"/>
        <v>30</v>
      </c>
      <c r="K37" s="102">
        <v>0.23456789123399999</v>
      </c>
      <c r="L37" s="97">
        <f t="shared" si="6"/>
        <v>30.234567891234001</v>
      </c>
      <c r="M37" s="45"/>
      <c r="N37" s="45"/>
      <c r="O37" s="45"/>
      <c r="P37" s="45"/>
      <c r="Q37" s="45"/>
    </row>
    <row r="38" spans="1:32" s="46" customFormat="1" ht="85.5" customHeight="1" x14ac:dyDescent="0.25">
      <c r="A38" s="95" t="str">
        <f>5&amp;E38</f>
        <v>5a</v>
      </c>
      <c r="B38" s="226" t="s">
        <v>77</v>
      </c>
      <c r="C38" s="213" t="s">
        <v>78</v>
      </c>
      <c r="D38" s="229" t="s">
        <v>79</v>
      </c>
      <c r="E38" s="75" t="s">
        <v>34</v>
      </c>
      <c r="F38" s="76" t="s">
        <v>80</v>
      </c>
      <c r="G38" s="103" t="s">
        <v>38</v>
      </c>
      <c r="H38" s="104" t="s">
        <v>205</v>
      </c>
      <c r="I38" s="96" t="str">
        <f t="shared" si="2"/>
        <v>Mantenimiento del control</v>
      </c>
      <c r="J38" s="97">
        <f>+IF(G38="Si",60,IF(G38="En proceso",50,40))</f>
        <v>60</v>
      </c>
      <c r="K38" s="97">
        <v>0.31</v>
      </c>
      <c r="L38" s="97">
        <f t="shared" si="3"/>
        <v>60.31</v>
      </c>
    </row>
    <row r="39" spans="1:32" s="46" customFormat="1" ht="99" x14ac:dyDescent="0.25">
      <c r="A39" s="95" t="str">
        <f t="shared" ref="A39:A42" si="9">5&amp;E39</f>
        <v>5b</v>
      </c>
      <c r="B39" s="227"/>
      <c r="C39" s="214"/>
      <c r="D39" s="230"/>
      <c r="E39" s="77" t="s">
        <v>36</v>
      </c>
      <c r="F39" s="79" t="s">
        <v>81</v>
      </c>
      <c r="G39" s="105" t="s">
        <v>75</v>
      </c>
      <c r="H39" s="107" t="s">
        <v>235</v>
      </c>
      <c r="I39" s="100" t="str">
        <f t="shared" si="2"/>
        <v>Oportunidad de mejora</v>
      </c>
      <c r="J39" s="97">
        <f>+IF(G39="Si",60,IF(G39="En proceso",50,40))</f>
        <v>50</v>
      </c>
      <c r="K39" s="97">
        <v>0.32300000000000001</v>
      </c>
      <c r="L39" s="97">
        <f t="shared" si="3"/>
        <v>50.323</v>
      </c>
    </row>
    <row r="40" spans="1:32" s="46" customFormat="1" ht="114.75" customHeight="1" x14ac:dyDescent="0.25">
      <c r="A40" s="95" t="str">
        <f t="shared" si="9"/>
        <v>5c</v>
      </c>
      <c r="B40" s="227"/>
      <c r="C40" s="214"/>
      <c r="D40" s="230"/>
      <c r="E40" s="77" t="s">
        <v>39</v>
      </c>
      <c r="F40" s="79" t="s">
        <v>82</v>
      </c>
      <c r="G40" s="105" t="s">
        <v>75</v>
      </c>
      <c r="H40" s="107" t="s">
        <v>236</v>
      </c>
      <c r="I40" s="100" t="str">
        <f t="shared" si="2"/>
        <v>Oportunidad de mejora</v>
      </c>
      <c r="J40" s="97">
        <f>+IF(G40="Si",60,IF(G40="En proceso",50,40))</f>
        <v>50</v>
      </c>
      <c r="K40" s="97">
        <v>0.32400000000000001</v>
      </c>
      <c r="L40" s="97">
        <f t="shared" si="3"/>
        <v>50.323999999999998</v>
      </c>
    </row>
    <row r="41" spans="1:32" s="46" customFormat="1" ht="94.5" x14ac:dyDescent="0.25">
      <c r="A41" s="95" t="str">
        <f t="shared" si="9"/>
        <v>5d</v>
      </c>
      <c r="B41" s="227"/>
      <c r="C41" s="214"/>
      <c r="D41" s="230"/>
      <c r="E41" s="77" t="s">
        <v>41</v>
      </c>
      <c r="F41" s="79" t="s">
        <v>83</v>
      </c>
      <c r="G41" s="105" t="s">
        <v>38</v>
      </c>
      <c r="H41" s="107" t="s">
        <v>192</v>
      </c>
      <c r="I41" s="100" t="str">
        <f t="shared" si="2"/>
        <v>Mantenimiento del control</v>
      </c>
      <c r="J41" s="97">
        <f>+IF(G41="Si",60,IF(G41="En proceso",50,40))</f>
        <v>60</v>
      </c>
      <c r="K41" s="97">
        <v>0.32500000000000001</v>
      </c>
      <c r="L41" s="97">
        <f t="shared" si="3"/>
        <v>60.325000000000003</v>
      </c>
    </row>
    <row r="42" spans="1:32" s="46" customFormat="1" ht="48" thickBot="1" x14ac:dyDescent="0.3">
      <c r="A42" s="95" t="str">
        <f t="shared" si="9"/>
        <v>5e</v>
      </c>
      <c r="B42" s="228"/>
      <c r="C42" s="215"/>
      <c r="D42" s="231"/>
      <c r="E42" s="80" t="s">
        <v>43</v>
      </c>
      <c r="F42" s="81" t="s">
        <v>84</v>
      </c>
      <c r="G42" s="108" t="s">
        <v>38</v>
      </c>
      <c r="H42" s="109" t="s">
        <v>198</v>
      </c>
      <c r="I42" s="101" t="str">
        <f t="shared" si="2"/>
        <v>Mantenimiento del control</v>
      </c>
      <c r="J42" s="97">
        <f>+IF(G42="Si",60,IF(G42="En proceso",50,40))</f>
        <v>60</v>
      </c>
      <c r="K42" s="97">
        <v>0.32600000000000001</v>
      </c>
      <c r="L42" s="97">
        <f t="shared" si="3"/>
        <v>60.326000000000001</v>
      </c>
    </row>
    <row r="43" spans="1:32" s="46" customFormat="1" ht="54" customHeight="1" x14ac:dyDescent="0.25">
      <c r="A43" s="95" t="str">
        <f>6&amp;E43</f>
        <v>6a</v>
      </c>
      <c r="B43" s="236" t="s">
        <v>85</v>
      </c>
      <c r="C43" s="216" t="s">
        <v>86</v>
      </c>
      <c r="D43" s="233" t="s">
        <v>87</v>
      </c>
      <c r="E43" s="75" t="s">
        <v>34</v>
      </c>
      <c r="F43" s="76" t="s">
        <v>88</v>
      </c>
      <c r="G43" s="103" t="s">
        <v>38</v>
      </c>
      <c r="H43" s="104" t="s">
        <v>206</v>
      </c>
      <c r="I43" s="96" t="str">
        <f t="shared" si="2"/>
        <v>Mantenimiento del control</v>
      </c>
      <c r="J43" s="97">
        <f t="shared" ref="J43:J49" si="10">+IF(G43="Si",80,IF(G43="En proceso",70,60))</f>
        <v>80</v>
      </c>
      <c r="K43" s="97">
        <v>0.41199999999999998</v>
      </c>
      <c r="L43" s="97">
        <f t="shared" si="3"/>
        <v>80.412000000000006</v>
      </c>
    </row>
    <row r="44" spans="1:32" s="46" customFormat="1" ht="74.25" customHeight="1" x14ac:dyDescent="0.25">
      <c r="A44" s="95" t="str">
        <f t="shared" ref="A44:A49" si="11">6&amp;E44</f>
        <v>6b</v>
      </c>
      <c r="B44" s="237"/>
      <c r="C44" s="217"/>
      <c r="D44" s="234"/>
      <c r="E44" s="77" t="s">
        <v>36</v>
      </c>
      <c r="F44" s="79" t="s">
        <v>89</v>
      </c>
      <c r="G44" s="105" t="s">
        <v>75</v>
      </c>
      <c r="H44" s="107" t="s">
        <v>237</v>
      </c>
      <c r="I44" s="100" t="str">
        <f t="shared" si="2"/>
        <v>Oportunidad de mejora</v>
      </c>
      <c r="J44" s="97">
        <f t="shared" si="10"/>
        <v>70</v>
      </c>
      <c r="K44" s="97">
        <v>0.4123</v>
      </c>
      <c r="L44" s="97">
        <f t="shared" si="3"/>
        <v>70.412300000000002</v>
      </c>
    </row>
    <row r="45" spans="1:32" s="46" customFormat="1" ht="82.5" x14ac:dyDescent="0.25">
      <c r="A45" s="95" t="str">
        <f t="shared" si="11"/>
        <v>6c</v>
      </c>
      <c r="B45" s="237"/>
      <c r="C45" s="217"/>
      <c r="D45" s="234"/>
      <c r="E45" s="77" t="s">
        <v>39</v>
      </c>
      <c r="F45" s="79" t="s">
        <v>90</v>
      </c>
      <c r="G45" s="105" t="s">
        <v>38</v>
      </c>
      <c r="H45" s="107" t="s">
        <v>238</v>
      </c>
      <c r="I45" s="100" t="str">
        <f t="shared" si="2"/>
        <v>Mantenimiento del control</v>
      </c>
      <c r="J45" s="97">
        <f t="shared" si="10"/>
        <v>80</v>
      </c>
      <c r="K45" s="97">
        <v>0.41233999999999998</v>
      </c>
      <c r="L45" s="97">
        <f t="shared" si="3"/>
        <v>80.41234</v>
      </c>
    </row>
    <row r="46" spans="1:32" s="46" customFormat="1" ht="48" customHeight="1" x14ac:dyDescent="0.25">
      <c r="A46" s="95" t="str">
        <f t="shared" si="11"/>
        <v>6d</v>
      </c>
      <c r="B46" s="237"/>
      <c r="C46" s="217"/>
      <c r="D46" s="234"/>
      <c r="E46" s="77" t="s">
        <v>41</v>
      </c>
      <c r="F46" s="79" t="s">
        <v>91</v>
      </c>
      <c r="G46" s="105" t="s">
        <v>38</v>
      </c>
      <c r="H46" s="107" t="s">
        <v>216</v>
      </c>
      <c r="I46" s="100" t="str">
        <f t="shared" si="2"/>
        <v>Mantenimiento del control</v>
      </c>
      <c r="J46" s="97">
        <f t="shared" si="10"/>
        <v>80</v>
      </c>
      <c r="K46" s="97">
        <v>0.41234500000000002</v>
      </c>
      <c r="L46" s="97">
        <f t="shared" si="3"/>
        <v>80.412345000000002</v>
      </c>
    </row>
    <row r="47" spans="1:32" s="46" customFormat="1" ht="99" x14ac:dyDescent="0.25">
      <c r="A47" s="95" t="str">
        <f t="shared" si="11"/>
        <v>6e</v>
      </c>
      <c r="B47" s="237"/>
      <c r="C47" s="217"/>
      <c r="D47" s="234"/>
      <c r="E47" s="77" t="s">
        <v>43</v>
      </c>
      <c r="F47" s="79" t="s">
        <v>92</v>
      </c>
      <c r="G47" s="105" t="s">
        <v>38</v>
      </c>
      <c r="H47" s="107" t="s">
        <v>239</v>
      </c>
      <c r="I47" s="100" t="str">
        <f t="shared" si="2"/>
        <v>Mantenimiento del control</v>
      </c>
      <c r="J47" s="97">
        <f t="shared" si="10"/>
        <v>80</v>
      </c>
      <c r="K47" s="97">
        <v>0.41234559999999998</v>
      </c>
      <c r="L47" s="97">
        <f t="shared" si="3"/>
        <v>80.412345599999995</v>
      </c>
    </row>
    <row r="48" spans="1:32" s="46" customFormat="1" ht="99" x14ac:dyDescent="0.25">
      <c r="A48" s="95" t="str">
        <f t="shared" si="11"/>
        <v>6f</v>
      </c>
      <c r="B48" s="237"/>
      <c r="C48" s="217"/>
      <c r="D48" s="234"/>
      <c r="E48" s="77" t="s">
        <v>45</v>
      </c>
      <c r="F48" s="79" t="s">
        <v>93</v>
      </c>
      <c r="G48" s="105" t="s">
        <v>75</v>
      </c>
      <c r="H48" s="107" t="s">
        <v>207</v>
      </c>
      <c r="I48" s="100" t="str">
        <f t="shared" si="2"/>
        <v>Oportunidad de mejora</v>
      </c>
      <c r="J48" s="97">
        <f t="shared" si="10"/>
        <v>70</v>
      </c>
      <c r="K48" s="97">
        <v>0.41234567</v>
      </c>
      <c r="L48" s="97">
        <f t="shared" si="3"/>
        <v>70.412345669999993</v>
      </c>
    </row>
    <row r="49" spans="1:17" s="46" customFormat="1" ht="48" thickBot="1" x14ac:dyDescent="0.3">
      <c r="A49" s="95" t="str">
        <f t="shared" si="11"/>
        <v>6g</v>
      </c>
      <c r="B49" s="238"/>
      <c r="C49" s="218"/>
      <c r="D49" s="235"/>
      <c r="E49" s="80" t="s">
        <v>47</v>
      </c>
      <c r="F49" s="81" t="s">
        <v>94</v>
      </c>
      <c r="G49" s="108" t="s">
        <v>38</v>
      </c>
      <c r="H49" s="109" t="s">
        <v>194</v>
      </c>
      <c r="I49" s="101" t="str">
        <f t="shared" si="2"/>
        <v>Mantenimiento del control</v>
      </c>
      <c r="J49" s="97">
        <f t="shared" si="10"/>
        <v>80</v>
      </c>
      <c r="K49" s="97">
        <v>0.41234567799999999</v>
      </c>
      <c r="L49" s="97">
        <f t="shared" si="3"/>
        <v>80.412345677999994</v>
      </c>
    </row>
    <row r="50" spans="1:17" s="46" customFormat="1" ht="54.75" customHeight="1" x14ac:dyDescent="0.25">
      <c r="A50" s="95" t="str">
        <f>7&amp;E50</f>
        <v>7a</v>
      </c>
      <c r="B50" s="204" t="s">
        <v>95</v>
      </c>
      <c r="C50" s="219" t="s">
        <v>96</v>
      </c>
      <c r="D50" s="201" t="s">
        <v>97</v>
      </c>
      <c r="E50" s="75" t="s">
        <v>34</v>
      </c>
      <c r="F50" s="76" t="s">
        <v>98</v>
      </c>
      <c r="G50" s="103" t="s">
        <v>38</v>
      </c>
      <c r="H50" s="104" t="s">
        <v>195</v>
      </c>
      <c r="I50" s="96" t="str">
        <f t="shared" si="2"/>
        <v>Mantenimiento del control</v>
      </c>
      <c r="J50" s="97">
        <f>+IF(G50="Si",120,IF(G50="En proceso",100,80))</f>
        <v>120</v>
      </c>
      <c r="K50" s="97">
        <v>0.85099999999999998</v>
      </c>
      <c r="L50" s="97">
        <f t="shared" si="3"/>
        <v>120.851</v>
      </c>
    </row>
    <row r="51" spans="1:17" s="46" customFormat="1" ht="94.5" x14ac:dyDescent="0.25">
      <c r="A51" s="95" t="str">
        <f t="shared" ref="A51:A53" si="12">7&amp;E51</f>
        <v>7d</v>
      </c>
      <c r="B51" s="205"/>
      <c r="C51" s="220"/>
      <c r="D51" s="202"/>
      <c r="E51" s="77" t="s">
        <v>41</v>
      </c>
      <c r="F51" s="79" t="s">
        <v>99</v>
      </c>
      <c r="G51" s="105" t="s">
        <v>38</v>
      </c>
      <c r="H51" s="107" t="s">
        <v>193</v>
      </c>
      <c r="I51" s="100" t="str">
        <f t="shared" si="2"/>
        <v>Mantenimiento del control</v>
      </c>
      <c r="J51" s="97">
        <f t="shared" ref="J51:J59" si="13">+IF(G51="Si",120,IF(G51="En proceso",100,80))</f>
        <v>120</v>
      </c>
      <c r="K51" s="97">
        <v>0.85119999999999996</v>
      </c>
      <c r="L51" s="97">
        <f t="shared" si="3"/>
        <v>120.85120000000001</v>
      </c>
    </row>
    <row r="52" spans="1:17" s="46" customFormat="1" ht="47.25" x14ac:dyDescent="0.25">
      <c r="A52" s="95" t="str">
        <f t="shared" si="12"/>
        <v>7f</v>
      </c>
      <c r="B52" s="205"/>
      <c r="C52" s="220"/>
      <c r="D52" s="202"/>
      <c r="E52" s="77" t="s">
        <v>45</v>
      </c>
      <c r="F52" s="79" t="s">
        <v>100</v>
      </c>
      <c r="G52" s="105" t="s">
        <v>38</v>
      </c>
      <c r="H52" s="107" t="s">
        <v>196</v>
      </c>
      <c r="I52" s="100" t="str">
        <f t="shared" si="2"/>
        <v>Mantenimiento del control</v>
      </c>
      <c r="J52" s="97">
        <f t="shared" si="13"/>
        <v>120</v>
      </c>
      <c r="K52" s="97">
        <v>0.85123000000000004</v>
      </c>
      <c r="L52" s="97">
        <f t="shared" si="3"/>
        <v>120.85123</v>
      </c>
    </row>
    <row r="53" spans="1:17" s="46" customFormat="1" ht="48" thickBot="1" x14ac:dyDescent="0.3">
      <c r="A53" s="95" t="str">
        <f t="shared" si="12"/>
        <v>7g</v>
      </c>
      <c r="B53" s="206"/>
      <c r="C53" s="221"/>
      <c r="D53" s="239"/>
      <c r="E53" s="80" t="s">
        <v>47</v>
      </c>
      <c r="F53" s="81" t="s">
        <v>101</v>
      </c>
      <c r="G53" s="108" t="s">
        <v>38</v>
      </c>
      <c r="H53" s="109" t="s">
        <v>197</v>
      </c>
      <c r="I53" s="101" t="str">
        <f t="shared" si="2"/>
        <v>Mantenimiento del control</v>
      </c>
      <c r="J53" s="97">
        <f t="shared" si="13"/>
        <v>120</v>
      </c>
      <c r="K53" s="97">
        <v>0.85123400000000005</v>
      </c>
      <c r="L53" s="97">
        <f t="shared" si="3"/>
        <v>120.85123400000001</v>
      </c>
    </row>
    <row r="54" spans="1:17" s="46" customFormat="1" ht="95.25" thickBot="1" x14ac:dyDescent="0.3">
      <c r="A54" s="95" t="str">
        <f>8&amp;E54</f>
        <v>8h</v>
      </c>
      <c r="B54" s="150" t="s">
        <v>102</v>
      </c>
      <c r="C54" s="151" t="s">
        <v>96</v>
      </c>
      <c r="D54" s="70" t="s">
        <v>103</v>
      </c>
      <c r="E54" s="75" t="s">
        <v>49</v>
      </c>
      <c r="F54" s="76" t="s">
        <v>104</v>
      </c>
      <c r="G54" s="103" t="s">
        <v>38</v>
      </c>
      <c r="H54" s="104" t="s">
        <v>200</v>
      </c>
      <c r="I54" s="96" t="str">
        <f t="shared" si="2"/>
        <v>Mantenimiento del control</v>
      </c>
      <c r="J54" s="97">
        <f t="shared" si="13"/>
        <v>120</v>
      </c>
      <c r="K54" s="97">
        <v>0.85123450000000001</v>
      </c>
      <c r="L54" s="97">
        <f t="shared" si="3"/>
        <v>120.8512345</v>
      </c>
    </row>
    <row r="55" spans="1:17" s="46" customFormat="1" ht="71.25" customHeight="1" x14ac:dyDescent="0.25">
      <c r="A55" s="95" t="str">
        <f>9&amp;E55</f>
        <v>9a</v>
      </c>
      <c r="B55" s="204" t="s">
        <v>105</v>
      </c>
      <c r="C55" s="219" t="s">
        <v>96</v>
      </c>
      <c r="D55" s="201" t="s">
        <v>106</v>
      </c>
      <c r="E55" s="75" t="s">
        <v>34</v>
      </c>
      <c r="F55" s="76" t="s">
        <v>107</v>
      </c>
      <c r="G55" s="103" t="s">
        <v>38</v>
      </c>
      <c r="H55" s="104" t="s">
        <v>199</v>
      </c>
      <c r="I55" s="96" t="str">
        <f t="shared" si="2"/>
        <v>Mantenimiento del control</v>
      </c>
      <c r="J55" s="97">
        <f t="shared" si="13"/>
        <v>120</v>
      </c>
      <c r="K55" s="102">
        <v>0.85123455999999997</v>
      </c>
      <c r="L55" s="97">
        <f t="shared" si="3"/>
        <v>120.85123455999999</v>
      </c>
      <c r="M55" s="45"/>
      <c r="N55" s="45"/>
      <c r="O55" s="45"/>
      <c r="P55" s="45"/>
      <c r="Q55" s="45"/>
    </row>
    <row r="56" spans="1:17" s="46" customFormat="1" ht="120.75" customHeight="1" x14ac:dyDescent="0.25">
      <c r="A56" s="95" t="str">
        <f t="shared" ref="A56:A59" si="14">9&amp;E56</f>
        <v>9b</v>
      </c>
      <c r="B56" s="205"/>
      <c r="C56" s="220"/>
      <c r="D56" s="202"/>
      <c r="E56" s="77" t="s">
        <v>36</v>
      </c>
      <c r="F56" s="79" t="s">
        <v>108</v>
      </c>
      <c r="G56" s="105" t="s">
        <v>38</v>
      </c>
      <c r="H56" s="107" t="s">
        <v>208</v>
      </c>
      <c r="I56" s="100" t="str">
        <f t="shared" si="2"/>
        <v>Mantenimiento del control</v>
      </c>
      <c r="J56" s="97">
        <f t="shared" si="13"/>
        <v>120</v>
      </c>
      <c r="K56" s="102">
        <v>0.851234567</v>
      </c>
      <c r="L56" s="97">
        <f t="shared" si="3"/>
        <v>120.85123456700001</v>
      </c>
      <c r="M56" s="45"/>
      <c r="N56" s="45"/>
      <c r="O56" s="45"/>
      <c r="P56" s="45"/>
      <c r="Q56" s="45"/>
    </row>
    <row r="57" spans="1:17" s="46" customFormat="1" ht="47.25" x14ac:dyDescent="0.25">
      <c r="A57" s="95" t="str">
        <f t="shared" si="14"/>
        <v>9c</v>
      </c>
      <c r="B57" s="205"/>
      <c r="C57" s="220"/>
      <c r="D57" s="202"/>
      <c r="E57" s="77" t="s">
        <v>39</v>
      </c>
      <c r="F57" s="79" t="s">
        <v>109</v>
      </c>
      <c r="G57" s="105" t="s">
        <v>38</v>
      </c>
      <c r="H57" s="107" t="s">
        <v>201</v>
      </c>
      <c r="I57" s="100" t="str">
        <f t="shared" si="2"/>
        <v>Mantenimiento del control</v>
      </c>
      <c r="J57" s="97">
        <f t="shared" si="13"/>
        <v>120</v>
      </c>
      <c r="K57" s="102">
        <v>0.85123456779999995</v>
      </c>
      <c r="L57" s="97">
        <f t="shared" si="3"/>
        <v>120.85123456780001</v>
      </c>
      <c r="M57" s="45"/>
      <c r="N57" s="45"/>
      <c r="O57" s="45"/>
      <c r="P57" s="45"/>
      <c r="Q57" s="45"/>
    </row>
    <row r="58" spans="1:17" s="46" customFormat="1" ht="33" x14ac:dyDescent="0.25">
      <c r="A58" s="95" t="str">
        <f t="shared" si="14"/>
        <v>9d</v>
      </c>
      <c r="B58" s="205"/>
      <c r="C58" s="220"/>
      <c r="D58" s="202"/>
      <c r="E58" s="77" t="s">
        <v>41</v>
      </c>
      <c r="F58" s="79" t="s">
        <v>110</v>
      </c>
      <c r="G58" s="105" t="s">
        <v>38</v>
      </c>
      <c r="H58" s="107" t="s">
        <v>202</v>
      </c>
      <c r="I58" s="100" t="str">
        <f t="shared" si="2"/>
        <v>Mantenimiento del control</v>
      </c>
      <c r="J58" s="97">
        <f t="shared" si="13"/>
        <v>120</v>
      </c>
      <c r="K58" s="102">
        <v>0.85123456788999996</v>
      </c>
      <c r="L58" s="97">
        <f t="shared" si="3"/>
        <v>120.85123456789</v>
      </c>
      <c r="M58" s="45"/>
      <c r="N58" s="45"/>
      <c r="O58" s="45"/>
      <c r="P58" s="45"/>
      <c r="Q58" s="45"/>
    </row>
    <row r="59" spans="1:17" s="46" customFormat="1" ht="66.75" thickBot="1" x14ac:dyDescent="0.3">
      <c r="A59" s="95" t="str">
        <f t="shared" si="14"/>
        <v>9e</v>
      </c>
      <c r="B59" s="206"/>
      <c r="C59" s="220"/>
      <c r="D59" s="203"/>
      <c r="E59" s="80" t="s">
        <v>43</v>
      </c>
      <c r="F59" s="81" t="s">
        <v>111</v>
      </c>
      <c r="G59" s="108" t="s">
        <v>38</v>
      </c>
      <c r="H59" s="109" t="s">
        <v>203</v>
      </c>
      <c r="I59" s="101" t="str">
        <f t="shared" si="2"/>
        <v>Mantenimiento del control</v>
      </c>
      <c r="J59" s="97">
        <f t="shared" si="13"/>
        <v>120</v>
      </c>
      <c r="K59" s="102">
        <v>0.85123456789100005</v>
      </c>
      <c r="L59" s="97">
        <f t="shared" si="3"/>
        <v>120.851234567891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B14:I14"/>
    <mergeCell ref="D43:D49"/>
    <mergeCell ref="B43:B49"/>
    <mergeCell ref="D50:D53"/>
    <mergeCell ref="B50:B53"/>
    <mergeCell ref="D16:D27"/>
    <mergeCell ref="B16:B27"/>
    <mergeCell ref="B28:B31"/>
    <mergeCell ref="D28:D31"/>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zoomScale="80" zoomScaleNormal="80" workbookViewId="0">
      <selection activeCell="G32" sqref="G32"/>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82" t="s">
        <v>112</v>
      </c>
      <c r="D7" s="283"/>
      <c r="E7" s="283"/>
      <c r="F7" s="283"/>
      <c r="G7" s="283"/>
      <c r="H7" s="283"/>
      <c r="I7" s="283"/>
      <c r="J7" s="283"/>
      <c r="K7" s="284"/>
    </row>
    <row r="8" spans="1:11" s="1" customFormat="1" ht="15.75" thickBot="1" x14ac:dyDescent="0.3">
      <c r="C8" s="36"/>
      <c r="D8" s="36"/>
      <c r="E8" s="37"/>
      <c r="F8" s="37"/>
      <c r="G8" s="37"/>
      <c r="H8" s="37"/>
      <c r="I8" s="47"/>
      <c r="J8" s="37"/>
      <c r="K8" s="37"/>
    </row>
    <row r="9" spans="1:11" ht="21" thickBot="1" x14ac:dyDescent="0.3">
      <c r="A9" s="1"/>
      <c r="B9" s="1"/>
      <c r="C9" s="184" t="s">
        <v>15</v>
      </c>
      <c r="D9" s="185"/>
      <c r="E9" s="185" t="s">
        <v>16</v>
      </c>
      <c r="F9" s="196"/>
      <c r="G9" s="37"/>
      <c r="H9" s="37"/>
      <c r="I9" s="47"/>
      <c r="J9" s="37"/>
      <c r="K9" s="37"/>
    </row>
    <row r="10" spans="1:11" ht="54" customHeight="1" x14ac:dyDescent="0.25">
      <c r="A10" s="1"/>
      <c r="B10" s="1"/>
      <c r="C10" s="197" t="s">
        <v>17</v>
      </c>
      <c r="D10" s="198"/>
      <c r="E10" s="199" t="s">
        <v>18</v>
      </c>
      <c r="F10" s="200"/>
      <c r="G10" s="38"/>
      <c r="H10" s="39">
        <v>1</v>
      </c>
      <c r="I10" s="47"/>
      <c r="J10" s="37"/>
      <c r="K10" s="37"/>
    </row>
    <row r="11" spans="1:11" ht="46.5" customHeight="1" x14ac:dyDescent="0.25">
      <c r="A11" s="1"/>
      <c r="B11" s="1"/>
      <c r="C11" s="186" t="s">
        <v>19</v>
      </c>
      <c r="D11" s="187"/>
      <c r="E11" s="188" t="s">
        <v>113</v>
      </c>
      <c r="F11" s="189"/>
      <c r="G11" s="40" t="s">
        <v>114</v>
      </c>
      <c r="H11" s="39">
        <v>0.75</v>
      </c>
      <c r="I11" s="47"/>
      <c r="J11" s="37"/>
      <c r="K11" s="37"/>
    </row>
    <row r="12" spans="1:11" ht="70.5" customHeight="1" thickBot="1" x14ac:dyDescent="0.3">
      <c r="A12" s="1"/>
      <c r="B12" s="1"/>
      <c r="C12" s="190" t="s">
        <v>21</v>
      </c>
      <c r="D12" s="191"/>
      <c r="E12" s="192" t="s">
        <v>115</v>
      </c>
      <c r="F12" s="193"/>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74" t="s">
        <v>116</v>
      </c>
      <c r="D17" s="276" t="s">
        <v>117</v>
      </c>
      <c r="E17" s="277"/>
      <c r="F17" s="278" t="s">
        <v>118</v>
      </c>
      <c r="G17" s="280" t="s">
        <v>119</v>
      </c>
      <c r="H17" s="35"/>
      <c r="I17" s="269" t="s">
        <v>120</v>
      </c>
      <c r="J17" s="269" t="s">
        <v>121</v>
      </c>
    </row>
    <row r="18" spans="1:10" ht="36" customHeight="1" thickBot="1" x14ac:dyDescent="0.3">
      <c r="A18" s="1"/>
      <c r="B18" s="1"/>
      <c r="C18" s="275"/>
      <c r="D18" s="110" t="s">
        <v>122</v>
      </c>
      <c r="E18" s="111" t="s">
        <v>27</v>
      </c>
      <c r="F18" s="279"/>
      <c r="G18" s="281"/>
      <c r="H18" s="35"/>
      <c r="I18" s="270"/>
      <c r="J18" s="270"/>
    </row>
    <row r="19" spans="1:10" ht="65.25" customHeight="1" x14ac:dyDescent="0.25">
      <c r="A19" s="1"/>
      <c r="B19" s="1"/>
      <c r="C19" s="129">
        <v>1</v>
      </c>
      <c r="D19" s="271" t="s">
        <v>32</v>
      </c>
      <c r="E19" s="112" t="str">
        <f>+IFERROR(INDEX(Hoja1!$E$2:$E$45,MATCH('Análisis Resultados'!C19,Hoja1!$H$2:$H$45,0)),"")</f>
        <v>Evaluación a los servidores públicos de acuerdo con el marco normativo que le rige</v>
      </c>
      <c r="F19" s="113" t="str">
        <f>+IFERROR(VLOOKUP(C19,Hoja1!$H$2:$I$45,2,0),"")</f>
        <v>No</v>
      </c>
      <c r="G19" s="114"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No se encuentra el aspecto  por lo tanto la entidad debera generar acciones dirigidas a que se cumpla con el requerimiento.</v>
      </c>
      <c r="I19" s="130">
        <f>+IF(F19="Si",1,IF(F19="En proceso",0.5,0))</f>
        <v>0</v>
      </c>
      <c r="J19" s="253">
        <f>+AVERAGE(I19:I30)</f>
        <v>0.58333333333333337</v>
      </c>
    </row>
    <row r="20" spans="1:10" ht="45" x14ac:dyDescent="0.25">
      <c r="A20" s="1"/>
      <c r="B20" s="1"/>
      <c r="C20" s="129">
        <v>2</v>
      </c>
      <c r="D20" s="272"/>
      <c r="E20" s="115" t="str">
        <f>+IFERROR(INDEX(Hoja1!$E$2:$E$45,MATCH('Análisis Resultados'!C20,Hoja1!$H$2:$H$45,0)),"")</f>
        <v>Presentación oportuna de sus informes de gestión a las autoridades competentes</v>
      </c>
      <c r="F20" s="116" t="str">
        <f>+IFERROR(VLOOKUP(C20,Hoja1!$H$2:$I$45,2,0),"")</f>
        <v>No</v>
      </c>
      <c r="G20" s="117"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No se encuentra el aspecto  por lo tanto la entidad debera generar acciones dirigidas a que se cumpla con el requerimiento.</v>
      </c>
      <c r="I20" s="131">
        <f t="shared" ref="I20:I62" si="1">+IF(F20="Si",1,IF(F20="En proceso",0.5,0))</f>
        <v>0</v>
      </c>
      <c r="J20" s="254"/>
    </row>
    <row r="21" spans="1:10" ht="57" x14ac:dyDescent="0.25">
      <c r="A21" s="1"/>
      <c r="B21" s="1"/>
      <c r="C21" s="129">
        <v>3</v>
      </c>
      <c r="D21" s="272"/>
      <c r="E21" s="115" t="str">
        <f>+IFERROR(INDEX(Hoja1!$E$2:$E$45,MATCH('Análisis Resultados'!C21,Hoja1!$H$2:$H$45,0)),"")</f>
        <v>Un documento tal como un código de ética, integridad u otro que formalice los estándares de conducta, los principios institucionales o los valores del servicio público</v>
      </c>
      <c r="F21" s="116" t="str">
        <f>+IFERROR(VLOOKUP(C21,Hoja1!$H$2:$I$45,2,0),"")</f>
        <v>En proceso</v>
      </c>
      <c r="G21" s="117" t="str">
        <f t="shared" si="0"/>
        <v>Se encuentra en proceso, pero requiere continuar con acciones dirigidas a contar con dicho aspecto de control.</v>
      </c>
      <c r="I21" s="131">
        <f t="shared" si="1"/>
        <v>0.5</v>
      </c>
      <c r="J21" s="254"/>
    </row>
    <row r="22" spans="1:10" ht="56.25" customHeight="1" x14ac:dyDescent="0.25">
      <c r="A22" s="1"/>
      <c r="B22" s="1"/>
      <c r="C22" s="129">
        <v>4</v>
      </c>
      <c r="D22" s="272"/>
      <c r="E22" s="115" t="str">
        <f>+IFERROR(INDEX(Hoja1!$E$2:$E$45,MATCH('Análisis Resultados'!C22,Hoja1!$H$2:$H$45,0)),"")</f>
        <v>Una estructura organizacional formalizada (organigrama)</v>
      </c>
      <c r="F22" s="116" t="str">
        <f>+IFERROR(VLOOKUP(C22,Hoja1!$H$2:$I$45,2,0),"")</f>
        <v>En proceso</v>
      </c>
      <c r="G22" s="117" t="str">
        <f t="shared" si="0"/>
        <v>Se encuentra en proceso, pero requiere continuar con acciones dirigidas a contar con dicho aspecto de control.</v>
      </c>
      <c r="I22" s="131">
        <f t="shared" si="1"/>
        <v>0.5</v>
      </c>
      <c r="J22" s="254"/>
    </row>
    <row r="23" spans="1:10" ht="42.75" x14ac:dyDescent="0.25">
      <c r="A23" s="1"/>
      <c r="B23" s="1"/>
      <c r="C23" s="129">
        <v>5</v>
      </c>
      <c r="D23" s="272"/>
      <c r="E23" s="115" t="str">
        <f>+IFERROR(INDEX(Hoja1!$E$2:$E$45,MATCH('Análisis Resultados'!C23,Hoja1!$H$2:$H$45,0)),"")</f>
        <v>La documentación de sus procesos y procedimientos o bien una lista de actividades principales que permitan conocer el estado de su gestión</v>
      </c>
      <c r="F23" s="116" t="str">
        <f>+IFERROR(VLOOKUP(C23,Hoja1!$H$2:$I$45,2,0),"")</f>
        <v>En proceso</v>
      </c>
      <c r="G23" s="117" t="str">
        <f t="shared" si="0"/>
        <v>Se encuentra en proceso, pero requiere continuar con acciones dirigidas a contar con dicho aspecto de control.</v>
      </c>
      <c r="I23" s="131">
        <f t="shared" si="1"/>
        <v>0.5</v>
      </c>
      <c r="J23" s="254"/>
    </row>
    <row r="24" spans="1:10" ht="42.75" x14ac:dyDescent="0.25">
      <c r="A24" s="1"/>
      <c r="B24" s="1"/>
      <c r="C24" s="129">
        <v>6</v>
      </c>
      <c r="D24" s="272"/>
      <c r="E24" s="115" t="str">
        <f>+IFERROR(INDEX(Hoja1!$E$2:$E$45,MATCH('Análisis Resultados'!C24,Hoja1!$H$2:$H$45,0)),"")</f>
        <v>Procesos de inducción, capacitación y bienestar social para sus servidores públicos, de manera directa o en asociación con otras entidades municipales</v>
      </c>
      <c r="F24" s="116" t="str">
        <f>+IFERROR(VLOOKUP(C24,Hoja1!$H$2:$I$45,2,0),"")</f>
        <v>En proceso</v>
      </c>
      <c r="G24" s="117" t="str">
        <f t="shared" si="0"/>
        <v>Se encuentra en proceso, pero requiere continuar con acciones dirigidas a contar con dicho aspecto de control.</v>
      </c>
      <c r="I24" s="131">
        <f t="shared" si="1"/>
        <v>0.5</v>
      </c>
      <c r="J24" s="254"/>
    </row>
    <row r="25" spans="1:10" ht="33.75" x14ac:dyDescent="0.25">
      <c r="A25" s="1"/>
      <c r="B25" s="1"/>
      <c r="C25" s="129">
        <v>7</v>
      </c>
      <c r="D25" s="272"/>
      <c r="E25" s="115" t="str">
        <f>+IFERROR(INDEX(Hoja1!$E$2:$E$45,MATCH('Análisis Resultados'!C25,Hoja1!$H$2:$H$45,0)),"")</f>
        <v>Procesos de desvinculación de servidores de acuerdo con lo previsto en la Constitución Política y las leyes</v>
      </c>
      <c r="F25" s="116" t="str">
        <f>+IFERROR(VLOOKUP(C25,Hoja1!$H$2:$I$45,2,0),"")</f>
        <v>En proceso</v>
      </c>
      <c r="G25" s="117" t="str">
        <f t="shared" si="0"/>
        <v>Se encuentra en proceso, pero requiere continuar con acciones dirigidas a contar con dicho aspecto de control.</v>
      </c>
      <c r="I25" s="131">
        <f t="shared" si="1"/>
        <v>0.5</v>
      </c>
      <c r="J25" s="254"/>
    </row>
    <row r="26" spans="1:10" ht="33.75" x14ac:dyDescent="0.25">
      <c r="A26" s="1"/>
      <c r="B26" s="1"/>
      <c r="C26" s="129">
        <v>8</v>
      </c>
      <c r="D26" s="272"/>
      <c r="E26" s="115" t="str">
        <f>+IFERROR(INDEX(Hoja1!$E$2:$E$45,MATCH('Análisis Resultados'!C26,Hoja1!$H$2:$H$45,0)),"")</f>
        <v>Mecanismos de rendición de cuentas a la ciudadanía</v>
      </c>
      <c r="F26" s="116" t="str">
        <f>+IFERROR(VLOOKUP(C26,Hoja1!$H$2:$I$45,2,0),"")</f>
        <v>En proceso</v>
      </c>
      <c r="G26" s="117" t="str">
        <f t="shared" si="0"/>
        <v>Se encuentra en proceso, pero requiere continuar con acciones dirigidas a contar con dicho aspecto de control.</v>
      </c>
      <c r="I26" s="131">
        <f t="shared" si="1"/>
        <v>0.5</v>
      </c>
      <c r="J26" s="254"/>
    </row>
    <row r="27" spans="1:10" ht="45" x14ac:dyDescent="0.25">
      <c r="A27" s="1"/>
      <c r="B27" s="1"/>
      <c r="C27" s="129">
        <v>9</v>
      </c>
      <c r="D27" s="272"/>
      <c r="E27" s="115" t="str">
        <f>+IFERROR(INDEX(Hoja1!$E$2:$E$45,MATCH('Análisis Resultados'!C27,Hoja1!$H$2:$H$45,0)),"")</f>
        <v>Documento interno o adopción del MECI actualizado</v>
      </c>
      <c r="F27" s="116" t="str">
        <f>+IFERROR(VLOOKUP(C27,Hoja1!$H$2:$I$45,2,0),"")</f>
        <v>Si</v>
      </c>
      <c r="G27" s="117" t="str">
        <f t="shared" si="0"/>
        <v>Existe requerimiento pero se requiere actividades  dirigidas a su mantenimiento dentro del marco de las lineas de defensa.</v>
      </c>
      <c r="I27" s="131">
        <f t="shared" si="1"/>
        <v>1</v>
      </c>
      <c r="J27" s="254"/>
    </row>
    <row r="28" spans="1:10" ht="45" x14ac:dyDescent="0.25">
      <c r="A28" s="1"/>
      <c r="B28" s="1"/>
      <c r="C28" s="129">
        <v>10</v>
      </c>
      <c r="D28" s="272"/>
      <c r="E28" s="115" t="str">
        <f>+IFERROR(INDEX(Hoja1!$E$2:$E$45,MATCH('Análisis Resultados'!C28,Hoja1!$H$2:$H$45,0)),"")</f>
        <v>Planes, programas y proyectos de acuerdo con las normas que rigen y atendiendo con su propósito fundamental institucional (misión)</v>
      </c>
      <c r="F28" s="116" t="str">
        <f>+IFERROR(VLOOKUP(C28,Hoja1!$H$2:$I$45,2,0),"")</f>
        <v>Si</v>
      </c>
      <c r="G28" s="117" t="str">
        <f t="shared" si="0"/>
        <v>Existe requerimiento pero se requiere actividades  dirigidas a su mantenimiento dentro del marco de las lineas de defensa.</v>
      </c>
      <c r="I28" s="131">
        <f t="shared" si="1"/>
        <v>1</v>
      </c>
      <c r="J28" s="254"/>
    </row>
    <row r="29" spans="1:10" ht="45" x14ac:dyDescent="0.25">
      <c r="A29" s="1"/>
      <c r="B29" s="1"/>
      <c r="C29" s="129">
        <v>11</v>
      </c>
      <c r="D29" s="272"/>
      <c r="E29" s="115" t="str">
        <f>+IFERROR(INDEX(Hoja1!$E$2:$E$45,MATCH('Análisis Resultados'!C29,Hoja1!$H$2:$H$45,0)),"")</f>
        <v>Un manual de funciones que describa los empleos de la entidad</v>
      </c>
      <c r="F29" s="116" t="str">
        <f>+IFERROR(VLOOKUP(C29,Hoja1!$H$2:$I$45,2,0),"")</f>
        <v>Si</v>
      </c>
      <c r="G29" s="117"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31">
        <f t="shared" si="1"/>
        <v>1</v>
      </c>
      <c r="J29" s="254"/>
    </row>
    <row r="30" spans="1:10" ht="57.75" thickBot="1" x14ac:dyDescent="0.3">
      <c r="A30" s="1"/>
      <c r="B30" s="1"/>
      <c r="C30" s="129">
        <v>12</v>
      </c>
      <c r="D30" s="273"/>
      <c r="E30" s="118" t="str">
        <f>+IFERROR(INDEX(Hoja1!$E$2:$E$45,MATCH('Análisis Resultados'!C30,Hoja1!$H$2:$H$45,0)),"")</f>
        <v>Vinculación de los servidores públicos de acuerdo con el marco normativo que les rige (carrera administrativa, libre nombramiento y remoción, entre otros)</v>
      </c>
      <c r="F30" s="119" t="str">
        <f>+IFERROR(VLOOKUP(C30,Hoja1!$H$2:$I$45,2,0),"")</f>
        <v>Si</v>
      </c>
      <c r="G30" s="120" t="str">
        <f t="shared" si="0"/>
        <v>Existe requerimiento pero se requiere actividades  dirigidas a su mantenimiento dentro del marco de las lineas de defensa.</v>
      </c>
      <c r="I30" s="132">
        <f t="shared" si="1"/>
        <v>1</v>
      </c>
      <c r="J30" s="255"/>
    </row>
    <row r="31" spans="1:10" ht="45" customHeight="1" x14ac:dyDescent="0.25">
      <c r="A31" s="1"/>
      <c r="B31" s="1"/>
      <c r="C31" s="129">
        <v>13</v>
      </c>
      <c r="D31" s="267" t="s">
        <v>60</v>
      </c>
      <c r="E31" s="112" t="str">
        <f>+IFERROR(INDEX(Hoja1!$E$2:$E$45,MATCH('Análisis Resultados'!C31,Hoja1!$H$2:$H$45,0)),"")</f>
        <v>Hacen seguimiento a los problemas (riesgos)  que pueden afectar el cumplimiento de sus procesos, programas o proyectos a cargo</v>
      </c>
      <c r="F31" s="113" t="str">
        <f>+IFERROR(VLOOKUP(C31,Hoja1!$H$2:$I$45,2,0),"")</f>
        <v>No</v>
      </c>
      <c r="G31" s="114" t="str">
        <f t="shared" si="0"/>
        <v>No se encuentra el aspecto  por lo tanto la entidad debera generar acciones dirigidas a que se cumpla con el requerimiento.</v>
      </c>
      <c r="I31" s="130">
        <f t="shared" si="1"/>
        <v>0</v>
      </c>
      <c r="J31" s="251">
        <f>+AVERAGE(I31:I40)</f>
        <v>0.5</v>
      </c>
    </row>
    <row r="32" spans="1:10" ht="57" customHeight="1" x14ac:dyDescent="0.25">
      <c r="A32" s="1"/>
      <c r="B32" s="1"/>
      <c r="C32" s="129">
        <v>14</v>
      </c>
      <c r="D32" s="268"/>
      <c r="E32" s="115" t="str">
        <f>+IFERROR(INDEX(Hoja1!$E$2:$E$45,MATCH('Análisis Resultados'!C32,Hoja1!$H$2:$H$45,0)),"")</f>
        <v>Cada líder del equipo autónomamente toma las acciones para solucionarlos.</v>
      </c>
      <c r="F32" s="116" t="str">
        <f>+IFERROR(VLOOKUP(C32,Hoja1!$H$2:$I$45,2,0),"")</f>
        <v>No</v>
      </c>
      <c r="G32" s="117" t="str">
        <f t="shared" si="0"/>
        <v>No se encuentra el aspecto  por lo tanto la entidad debera generar acciones dirigidas a que se cumpla con el requerimiento.</v>
      </c>
      <c r="I32" s="131">
        <f t="shared" si="1"/>
        <v>0</v>
      </c>
      <c r="J32" s="252"/>
    </row>
    <row r="33" spans="1:10" ht="54" customHeight="1" x14ac:dyDescent="0.25">
      <c r="A33" s="1"/>
      <c r="B33" s="1"/>
      <c r="C33" s="129">
        <v>15</v>
      </c>
      <c r="D33" s="268"/>
      <c r="E33" s="115" t="str">
        <f>+IFERROR(INDEX(Hoja1!$E$2:$E$45,MATCH('Análisis Resultados'!C33,Hoja1!$H$2:$H$45,0)),"")</f>
        <v>La identificación de cambios en su entorno que pueden generar consecuencias negativas en su gestión</v>
      </c>
      <c r="F33" s="116" t="str">
        <f>+IFERROR(VLOOKUP(C33,Hoja1!$H$2:$I$45,2,0),"")</f>
        <v>En proceso</v>
      </c>
      <c r="G33" s="117" t="str">
        <f t="shared" si="0"/>
        <v>Se encuentra en proceso, pero requiere continuar con acciones dirigidas a contar con dicho aspecto de control.</v>
      </c>
      <c r="I33" s="131">
        <f t="shared" si="1"/>
        <v>0.5</v>
      </c>
      <c r="J33" s="252"/>
    </row>
    <row r="34" spans="1:10" ht="57" x14ac:dyDescent="0.25">
      <c r="A34" s="1"/>
      <c r="B34" s="1"/>
      <c r="C34" s="129">
        <v>16</v>
      </c>
      <c r="D34" s="268"/>
      <c r="E34" s="115" t="str">
        <f>+IFERROR(INDEX(Hoja1!$E$2:$E$45,MATCH('Análisis Resultados'!C34,Hoja1!$H$2:$H$45,0)),"")</f>
        <v>La identificación de aquellos problemas o aspectos que pueden afectar el cumplimiento de los planes de la entidad y en general su gestión institucional (riesgos)</v>
      </c>
      <c r="F34" s="116" t="str">
        <f>+IFERROR(VLOOKUP(C34,Hoja1!$H$2:$I$45,2,0),"")</f>
        <v>En proceso</v>
      </c>
      <c r="G34" s="117" t="str">
        <f t="shared" si="0"/>
        <v>Se encuentra en proceso, pero requiere continuar con acciones dirigidas a contar con dicho aspecto de control.</v>
      </c>
      <c r="I34" s="131">
        <f t="shared" si="1"/>
        <v>0.5</v>
      </c>
      <c r="J34" s="252"/>
    </row>
    <row r="35" spans="1:10" ht="67.5" customHeight="1" x14ac:dyDescent="0.25">
      <c r="A35" s="1"/>
      <c r="B35" s="1"/>
      <c r="C35" s="129">
        <v>17</v>
      </c>
      <c r="D35" s="268"/>
      <c r="E35" s="115" t="str">
        <f>+IFERROR(INDEX(Hoja1!$E$2:$E$45,MATCH('Análisis Resultados'!C35,Hoja1!$H$2:$H$45,0)),"")</f>
        <v>Informan de manera periódica a quien corresponda sobre el desempeño de las actividades de gestión de riesgos</v>
      </c>
      <c r="F35" s="116" t="str">
        <f>+IFERROR(VLOOKUP(C35,Hoja1!$H$2:$I$45,2,0),"")</f>
        <v>En proceso</v>
      </c>
      <c r="G35" s="117" t="str">
        <f t="shared" si="0"/>
        <v>Se encuentra en proceso, pero requiere continuar con acciones dirigidas a contar con dicho aspecto de control.</v>
      </c>
      <c r="I35" s="131">
        <f t="shared" si="1"/>
        <v>0.5</v>
      </c>
      <c r="J35" s="252"/>
    </row>
    <row r="36" spans="1:10" ht="42.75" x14ac:dyDescent="0.25">
      <c r="A36" s="1"/>
      <c r="B36" s="1"/>
      <c r="C36" s="129">
        <v>18</v>
      </c>
      <c r="D36" s="268"/>
      <c r="E36" s="115" t="str">
        <f>+IFERROR(INDEX(Hoja1!$E$2:$E$45,MATCH('Análisis Resultados'!C36,Hoja1!$H$2:$H$45,0)),"")</f>
        <v>Identifican deficiencias en las maneras de  controlar los riesgos o problemas en sus procesos, programas o proyectos, y propone los ajustes necesarios</v>
      </c>
      <c r="F36" s="116" t="str">
        <f>+IFERROR(VLOOKUP(C36,Hoja1!$H$2:$I$45,2,0),"")</f>
        <v>En proceso</v>
      </c>
      <c r="G36" s="117" t="str">
        <f t="shared" si="0"/>
        <v>Se encuentra en proceso, pero requiere continuar con acciones dirigidas a contar con dicho aspecto de control.</v>
      </c>
      <c r="I36" s="131">
        <f t="shared" si="1"/>
        <v>0.5</v>
      </c>
      <c r="J36" s="252"/>
    </row>
    <row r="37" spans="1:10" ht="57" customHeight="1" x14ac:dyDescent="0.25">
      <c r="A37" s="1"/>
      <c r="B37" s="1"/>
      <c r="C37" s="129">
        <v>19</v>
      </c>
      <c r="D37" s="268"/>
      <c r="E37" s="115" t="str">
        <f>+IFERROR(INDEX(Hoja1!$E$2:$E$45,MATCH('Análisis Resultados'!C37,Hoja1!$H$2:$H$45,0)),"")</f>
        <v>Se definen espacios de reunión para conocerlos y proponer acciones para su solución</v>
      </c>
      <c r="F37" s="116" t="str">
        <f>+IFERROR(VLOOKUP(C37,Hoja1!$H$2:$I$45,2,0),"")</f>
        <v>En proceso</v>
      </c>
      <c r="G37" s="117" t="str">
        <f t="shared" si="0"/>
        <v>Se encuentra en proceso, pero requiere continuar con acciones dirigidas a contar con dicho aspecto de control.</v>
      </c>
      <c r="I37" s="131">
        <f t="shared" si="1"/>
        <v>0.5</v>
      </c>
      <c r="J37" s="252"/>
    </row>
    <row r="38" spans="1:10" ht="33.75" x14ac:dyDescent="0.25">
      <c r="A38" s="1"/>
      <c r="B38" s="1"/>
      <c r="C38" s="129">
        <v>20</v>
      </c>
      <c r="D38" s="268"/>
      <c r="E38" s="115" t="str">
        <f>+IFERROR(INDEX(Hoja1!$E$2:$E$45,MATCH('Análisis Resultados'!C38,Hoja1!$H$2:$H$45,0)),"")</f>
        <v>Solamente hasta que un organismo de control actúa se definen acciones de mejora.</v>
      </c>
      <c r="F38" s="116" t="str">
        <f>+IFERROR(VLOOKUP(C38,Hoja1!$H$2:$I$45,2,0),"")</f>
        <v>En proceso</v>
      </c>
      <c r="G38" s="117" t="str">
        <f t="shared" si="0"/>
        <v>Se encuentra en proceso, pero requiere continuar con acciones dirigidas a contar con dicho aspecto de control.</v>
      </c>
      <c r="I38" s="131">
        <f t="shared" si="1"/>
        <v>0.5</v>
      </c>
      <c r="J38" s="252"/>
    </row>
    <row r="39" spans="1:10" ht="45" x14ac:dyDescent="0.25">
      <c r="A39" s="1"/>
      <c r="B39" s="1"/>
      <c r="C39" s="129">
        <v>21</v>
      </c>
      <c r="D39" s="268"/>
      <c r="E39" s="115" t="str">
        <f>+IFERROR(INDEX(Hoja1!$E$2:$E$45,MATCH('Análisis Resultados'!C39,Hoja1!$H$2:$H$45,0)),"")</f>
        <v>La identificación  de los riesgos relacionados con posibles actos de corrupción en el ejercicio de sus funciones</v>
      </c>
      <c r="F39" s="116" t="str">
        <f>+IFERROR(VLOOKUP(C39,Hoja1!$H$2:$I$45,2,0),"")</f>
        <v>Si</v>
      </c>
      <c r="G39" s="117" t="str">
        <f t="shared" si="0"/>
        <v>Existe requerimiento pero se requiere actividades  dirigidas a su mantenimiento dentro del marco de las lineas de defensa.</v>
      </c>
      <c r="I39" s="131">
        <f t="shared" si="1"/>
        <v>1</v>
      </c>
      <c r="J39" s="252"/>
    </row>
    <row r="40" spans="1:10" ht="45.75" thickBot="1" x14ac:dyDescent="0.3">
      <c r="A40" s="1"/>
      <c r="B40" s="1"/>
      <c r="C40" s="129">
        <v>22</v>
      </c>
      <c r="D40" s="268"/>
      <c r="E40" s="121" t="str">
        <f>+IFERROR(INDEX(Hoja1!$E$2:$E$45,MATCH('Análisis Resultados'!C40,Hoja1!$H$2:$H$45,0)),"")</f>
        <v>Si su capacidad e infraestructura lo permite, identificación de riesgos asociados a las tecnologías de la información y las comunicaciones</v>
      </c>
      <c r="F40" s="122" t="str">
        <f>+IFERROR(VLOOKUP(C40,Hoja1!$H$2:$I$45,2,0),"")</f>
        <v>Si</v>
      </c>
      <c r="G40" s="123" t="str">
        <f t="shared" si="0"/>
        <v>Existe requerimiento pero se requiere actividades  dirigidas a su mantenimiento dentro del marco de las lineas de defensa.</v>
      </c>
      <c r="I40" s="133">
        <f t="shared" si="1"/>
        <v>1</v>
      </c>
      <c r="J40" s="252"/>
    </row>
    <row r="41" spans="1:10" ht="87.75" customHeight="1" x14ac:dyDescent="0.25">
      <c r="A41" s="1"/>
      <c r="B41" s="1"/>
      <c r="C41" s="129">
        <v>23</v>
      </c>
      <c r="D41" s="263" t="s">
        <v>78</v>
      </c>
      <c r="E41" s="112" t="str">
        <f>+IFERROR(INDEX(Hoja1!$E$2:$E$45,MATCH('Análisis Resultados'!C41,Hoja1!$H$2:$H$45,0)),"")</f>
        <v>Mecanismos de verificación de si se están o no mitigando los riesgos, o en su defecto, elaboración de planes de contingencia para subsanar sus consecuencias</v>
      </c>
      <c r="F41" s="113" t="str">
        <f>+IFERROR(VLOOKUP(C41,Hoja1!$H$2:$I$45,2,0),"")</f>
        <v>En proceso</v>
      </c>
      <c r="G41" s="114" t="str">
        <f t="shared" si="0"/>
        <v>Se encuentra en proceso, pero requiere continuar con acciones dirigidas a contar con dicho aspecto de control.</v>
      </c>
      <c r="I41" s="130">
        <f t="shared" si="1"/>
        <v>0.5</v>
      </c>
      <c r="J41" s="251">
        <f>+AVERAGE(I41:I45)</f>
        <v>0.8</v>
      </c>
    </row>
    <row r="42" spans="1:10" ht="42.75" x14ac:dyDescent="0.25">
      <c r="A42" s="1"/>
      <c r="B42" s="1"/>
      <c r="C42" s="129">
        <v>24</v>
      </c>
      <c r="D42" s="264"/>
      <c r="E42" s="115" t="str">
        <f>+IFERROR(INDEX(Hoja1!$E$2:$E$45,MATCH('Análisis Resultados'!C42,Hoja1!$H$2:$H$45,0)),"")</f>
        <v>Planes, acciones o estrategias que permitan subsanar las consecuencias de la materialización de los riesgos, cuando se presentan</v>
      </c>
      <c r="F42" s="116" t="str">
        <f>+IFERROR(VLOOKUP(C42,Hoja1!$H$2:$I$45,2,0),"")</f>
        <v>En proceso</v>
      </c>
      <c r="G42" s="117" t="str">
        <f t="shared" si="0"/>
        <v>Se encuentra en proceso, pero requiere continuar con acciones dirigidas a contar con dicho aspecto de control.</v>
      </c>
      <c r="I42" s="131">
        <f t="shared" si="1"/>
        <v>0.5</v>
      </c>
      <c r="J42" s="252"/>
    </row>
    <row r="43" spans="1:10" ht="85.5" customHeight="1" x14ac:dyDescent="0.25">
      <c r="A43" s="1"/>
      <c r="B43" s="1"/>
      <c r="C43" s="129">
        <v>25</v>
      </c>
      <c r="D43" s="264"/>
      <c r="E43" s="115" t="str">
        <f>+IFERROR(INDEX(Hoja1!$E$2:$E$45,MATCH('Análisis Resultados'!C43,Hoja1!$H$2:$H$45,0)),"")</f>
        <v>La definición de acciones o actividades para para dar tratamiento a los problemas identificados (mitigación de riesgos), incluyendo aquellos asociados a posibles actos de corrupción</v>
      </c>
      <c r="F43" s="116" t="str">
        <f>+IFERROR(VLOOKUP(C43,Hoja1!$H$2:$I$45,2,0),"")</f>
        <v>Si</v>
      </c>
      <c r="G43" s="117" t="str">
        <f t="shared" si="0"/>
        <v>Existe requerimiento pero se requiere actividades  dirigidas a su mantenimiento dentro del marco de las lineas de defensa.</v>
      </c>
      <c r="I43" s="131">
        <f t="shared" si="1"/>
        <v>1</v>
      </c>
      <c r="J43" s="252"/>
    </row>
    <row r="44" spans="1:10" ht="57" customHeight="1" x14ac:dyDescent="0.25">
      <c r="A44" s="1"/>
      <c r="B44" s="1"/>
      <c r="C44" s="129">
        <v>26</v>
      </c>
      <c r="D44" s="264"/>
      <c r="E44" s="115"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6" t="str">
        <f>+IFERROR(VLOOKUP(C44,Hoja1!$H$2:$I$45,2,0),"")</f>
        <v>Si</v>
      </c>
      <c r="G44" s="117" t="str">
        <f t="shared" si="0"/>
        <v>Existe requerimiento pero se requiere actividades  dirigidas a su mantenimiento dentro del marco de las lineas de defensa.</v>
      </c>
      <c r="I44" s="131">
        <f t="shared" si="1"/>
        <v>1</v>
      </c>
      <c r="J44" s="252"/>
    </row>
    <row r="45" spans="1:10" ht="57" customHeight="1" thickBot="1" x14ac:dyDescent="0.3">
      <c r="A45" s="1"/>
      <c r="B45" s="1"/>
      <c r="C45" s="129">
        <v>27</v>
      </c>
      <c r="D45" s="265"/>
      <c r="E45" s="118" t="str">
        <f>+IFERROR(INDEX(Hoja1!$E$2:$E$45,MATCH('Análisis Resultados'!C45,Hoja1!$H$2:$H$45,0)),"")</f>
        <v>Un plan anticorrupción y de servicio al ciudadano con los temas que le aplican, publicado en algún medio para conocimiento de la ciudadanía</v>
      </c>
      <c r="F45" s="119" t="str">
        <f>+IFERROR(VLOOKUP(C45,Hoja1!$H$2:$I$45,2,0),"")</f>
        <v>Si</v>
      </c>
      <c r="G45" s="120" t="str">
        <f t="shared" si="0"/>
        <v>Existe requerimiento pero se requiere actividades  dirigidas a su mantenimiento dentro del marco de las lineas de defensa.</v>
      </c>
      <c r="I45" s="132">
        <f t="shared" si="1"/>
        <v>1</v>
      </c>
      <c r="J45" s="266"/>
    </row>
    <row r="46" spans="1:10" ht="63.75" customHeight="1" x14ac:dyDescent="0.25">
      <c r="A46" s="1"/>
      <c r="B46" s="1"/>
      <c r="C46" s="129">
        <v>28</v>
      </c>
      <c r="D46" s="262" t="s">
        <v>86</v>
      </c>
      <c r="E46" s="124" t="str">
        <f>+IFERROR(INDEX(Hoja1!$E$2:$E$45,MATCH('Análisis Resultados'!C46,Hoja1!$H$2:$H$45,0)),"")</f>
        <v>Canales de comunicación con los ciudadanos</v>
      </c>
      <c r="F46" s="125" t="str">
        <f>+IFERROR(VLOOKUP(C46,Hoja1!$H$2:$I$45,2,0),"")</f>
        <v>En proceso</v>
      </c>
      <c r="G46" s="126" t="str">
        <f t="shared" si="0"/>
        <v>Se encuentra en proceso, pero requiere continuar con acciones dirigidas a contar con dicho aspecto de control.</v>
      </c>
      <c r="I46" s="134">
        <f t="shared" si="1"/>
        <v>0.5</v>
      </c>
      <c r="J46" s="252">
        <f>+AVERAGE(I46:I52)</f>
        <v>0.8571428571428571</v>
      </c>
    </row>
    <row r="47" spans="1:10" ht="92.25" customHeight="1" x14ac:dyDescent="0.25">
      <c r="A47" s="1"/>
      <c r="B47" s="1"/>
      <c r="C47" s="129">
        <v>29</v>
      </c>
      <c r="D47" s="262"/>
      <c r="E47" s="115" t="str">
        <f>+IFERROR(INDEX(Hoja1!$E$2:$E$45,MATCH('Análisis Resultados'!C47,Hoja1!$H$2:$H$45,0)),"")</f>
        <v>Identificación de información necesaria para la operación de la entidad (normograma, presupuesto, talento humano, infraestructura física y tecnológica)</v>
      </c>
      <c r="F47" s="116" t="str">
        <f>+IFERROR(VLOOKUP(C47,Hoja1!$H$2:$I$45,2,0),"")</f>
        <v>En proceso</v>
      </c>
      <c r="G47" s="127" t="str">
        <f t="shared" si="0"/>
        <v>Se encuentra en proceso, pero requiere continuar con acciones dirigidas a contar con dicho aspecto de control.</v>
      </c>
      <c r="I47" s="135">
        <f t="shared" si="1"/>
        <v>0.5</v>
      </c>
      <c r="J47" s="252"/>
    </row>
    <row r="48" spans="1:10" ht="66.75" customHeight="1" x14ac:dyDescent="0.25">
      <c r="A48" s="1"/>
      <c r="B48" s="1"/>
      <c r="C48" s="129">
        <v>30</v>
      </c>
      <c r="D48" s="262"/>
      <c r="E48" s="115" t="str">
        <f>+IFERROR(INDEX(Hoja1!$E$2:$E$45,MATCH('Análisis Resultados'!C48,Hoja1!$H$2:$H$45,0)),"")</f>
        <v>Responsables de la información institucional</v>
      </c>
      <c r="F48" s="116" t="str">
        <f>+IFERROR(VLOOKUP(C48,Hoja1!$H$2:$I$45,2,0),"")</f>
        <v>Si</v>
      </c>
      <c r="G48" s="127" t="str">
        <f t="shared" si="0"/>
        <v>Existe requerimiento pero se requiere actividades  dirigidas a su mantenimiento dentro del marco de las lineas de defensa.</v>
      </c>
      <c r="I48" s="135">
        <f t="shared" si="1"/>
        <v>1</v>
      </c>
      <c r="J48" s="252"/>
    </row>
    <row r="49" spans="1:10" ht="60" customHeight="1" x14ac:dyDescent="0.25">
      <c r="A49" s="1"/>
      <c r="B49" s="1"/>
      <c r="C49" s="129">
        <v>31</v>
      </c>
      <c r="D49" s="262"/>
      <c r="E49" s="115" t="str">
        <f>+IFERROR(INDEX(Hoja1!$E$2:$E$45,MATCH('Análisis Resultados'!C49,Hoja1!$H$2:$H$45,0)),"")</f>
        <v>Canales de comunicación o mecanismos de reporte de información a otros organismos gubernamentales o de control</v>
      </c>
      <c r="F49" s="116" t="str">
        <f>+IFERROR(VLOOKUP(C49,Hoja1!$H$2:$I$45,2,0),"")</f>
        <v>Si</v>
      </c>
      <c r="G49" s="127" t="str">
        <f t="shared" si="0"/>
        <v>Existe requerimiento pero se requiere actividades  dirigidas a su mantenimiento dentro del marco de las lineas de defensa.</v>
      </c>
      <c r="I49" s="135">
        <f t="shared" si="1"/>
        <v>1</v>
      </c>
      <c r="J49" s="252"/>
    </row>
    <row r="50" spans="1:10" ht="57" customHeight="1" x14ac:dyDescent="0.25">
      <c r="A50" s="1"/>
      <c r="B50" s="1"/>
      <c r="C50" s="129">
        <v>32</v>
      </c>
      <c r="D50" s="262"/>
      <c r="E50" s="115" t="str">
        <f>+IFERROR(INDEX(Hoja1!$E$2:$E$45,MATCH('Análisis Resultados'!C50,Hoja1!$H$2:$H$45,0)),"")</f>
        <v xml:space="preserve">Lineamientos para dar tratamiento a la información de carácter reservado </v>
      </c>
      <c r="F50" s="116" t="str">
        <f>+IFERROR(VLOOKUP(C50,Hoja1!$H$2:$I$45,2,0),"")</f>
        <v>Si</v>
      </c>
      <c r="G50" s="127" t="str">
        <f t="shared" si="0"/>
        <v>Existe requerimiento pero se requiere actividades  dirigidas a su mantenimiento dentro del marco de las lineas de defensa.</v>
      </c>
      <c r="I50" s="135">
        <f t="shared" si="1"/>
        <v>1</v>
      </c>
      <c r="J50" s="252"/>
    </row>
    <row r="51" spans="1:10" ht="57" customHeight="1" x14ac:dyDescent="0.25">
      <c r="A51" s="1"/>
      <c r="B51" s="1"/>
      <c r="C51" s="129">
        <v>33</v>
      </c>
      <c r="D51" s="262"/>
      <c r="E51" s="115" t="str">
        <f>+IFERROR(INDEX(Hoja1!$E$2:$E$45,MATCH('Análisis Resultados'!C51,Hoja1!$H$2:$H$45,0)),"")</f>
        <v>Identificación de información que produce en el marco de su gestión (Para los ciudadanos, organismos de control, organismos gubernamentales, entre otros)</v>
      </c>
      <c r="F51" s="116" t="str">
        <f>+IFERROR(VLOOKUP(C51,Hoja1!$H$2:$I$45,2,0),"")</f>
        <v>Si</v>
      </c>
      <c r="G51" s="127" t="str">
        <f t="shared" si="0"/>
        <v>Existe requerimiento pero se requiere actividades  dirigidas a su mantenimiento dentro del marco de las lineas de defensa.</v>
      </c>
      <c r="I51" s="135">
        <f t="shared" si="1"/>
        <v>1</v>
      </c>
      <c r="J51" s="252"/>
    </row>
    <row r="52" spans="1:10" ht="45.75" thickBot="1" x14ac:dyDescent="0.3">
      <c r="A52" s="1"/>
      <c r="B52" s="1"/>
      <c r="C52" s="129">
        <v>34</v>
      </c>
      <c r="D52" s="262"/>
      <c r="E52" s="121" t="str">
        <f>+IFERROR(INDEX(Hoja1!$E$2:$E$45,MATCH('Análisis Resultados'!C52,Hoja1!$H$2:$H$45,0)),"")</f>
        <v>Si su capacidad e infraestructura lo permite, tecnologías de la información y las comunicaciones que soporten estos procesos</v>
      </c>
      <c r="F52" s="122" t="str">
        <f>+IFERROR(VLOOKUP(C52,Hoja1!$H$2:$I$45,2,0),"")</f>
        <v>Si</v>
      </c>
      <c r="G52" s="128" t="str">
        <f t="shared" si="0"/>
        <v>Existe requerimiento pero se requiere actividades  dirigidas a su mantenimiento dentro del marco de las lineas de defensa.</v>
      </c>
      <c r="I52" s="136">
        <f t="shared" si="1"/>
        <v>1</v>
      </c>
      <c r="J52" s="252"/>
    </row>
    <row r="53" spans="1:10" ht="41.25" customHeight="1" x14ac:dyDescent="0.25">
      <c r="A53" s="1"/>
      <c r="B53" s="1"/>
      <c r="C53" s="129">
        <v>35</v>
      </c>
      <c r="D53" s="256" t="s">
        <v>96</v>
      </c>
      <c r="E53" s="112" t="str">
        <f>+IFERROR(INDEX(Hoja1!$E$2:$E$45,MATCH('Análisis Resultados'!C53,Hoja1!$H$2:$H$45,0)),"")</f>
        <v>Mecanismos de evaluación de la gestión (cronogramas, indicadores, listas de chequeo u otros)</v>
      </c>
      <c r="F53" s="113" t="str">
        <f>+IFERROR(VLOOKUP(C53,Hoja1!$H$2:$I$45,2,0),"")</f>
        <v>Si</v>
      </c>
      <c r="G53" s="114" t="str">
        <f t="shared" si="0"/>
        <v>Existe requerimiento pero se requiere actividades  dirigidas a su mantenimiento dentro del marco de las lineas de defensa.</v>
      </c>
      <c r="I53" s="130">
        <f t="shared" si="1"/>
        <v>1</v>
      </c>
      <c r="J53" s="259">
        <f>+AVERAGE(I53:I62)</f>
        <v>1</v>
      </c>
    </row>
    <row r="54" spans="1:10" ht="58.5" customHeight="1" x14ac:dyDescent="0.25">
      <c r="A54" s="1"/>
      <c r="B54" s="1"/>
      <c r="C54" s="129">
        <v>36</v>
      </c>
      <c r="D54" s="257"/>
      <c r="E54" s="115" t="str">
        <f>+IFERROR(INDEX(Hoja1!$E$2:$E$45,MATCH('Análisis Resultados'!C54,Hoja1!$H$2:$H$45,0)),"")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4" s="116" t="str">
        <f>+IFERROR(VLOOKUP(C54,Hoja1!$H$2:$I$45,2,0),"")</f>
        <v>Si</v>
      </c>
      <c r="G54" s="117" t="str">
        <f t="shared" si="0"/>
        <v>Existe requerimiento pero se requiere actividades  dirigidas a su mantenimiento dentro del marco de las lineas de defensa.</v>
      </c>
      <c r="I54" s="131">
        <f t="shared" si="1"/>
        <v>1</v>
      </c>
      <c r="J54" s="260"/>
    </row>
    <row r="55" spans="1:10" s="1" customFormat="1" ht="84.75" customHeight="1" x14ac:dyDescent="0.25">
      <c r="C55" s="129">
        <v>37</v>
      </c>
      <c r="D55" s="257"/>
      <c r="E55" s="115" t="str">
        <f>+IFERROR(INDEX(Hoja1!$E$2:$E$45,MATCH('Análisis Resultados'!C55,Hoja1!$H$2:$H$45,0)),"")</f>
        <v>Medidas correctivas en caso de detectarse deficiencias en los ejercicios de evaluación, seguimiento o auditoría</v>
      </c>
      <c r="F55" s="116" t="str">
        <f>+IFERROR(VLOOKUP(C55,Hoja1!$H$2:$I$45,2,0),"")</f>
        <v>Si</v>
      </c>
      <c r="G55" s="117" t="str">
        <f t="shared" si="0"/>
        <v>Existe requerimiento pero se requiere actividades  dirigidas a su mantenimiento dentro del marco de las lineas de defensa.</v>
      </c>
      <c r="I55" s="131">
        <f t="shared" si="1"/>
        <v>1</v>
      </c>
      <c r="J55" s="260"/>
    </row>
    <row r="56" spans="1:10" s="1" customFormat="1" ht="78.75" customHeight="1" x14ac:dyDescent="0.25">
      <c r="C56" s="129">
        <v>38</v>
      </c>
      <c r="D56" s="257"/>
      <c r="E56" s="115" t="str">
        <f>+IFERROR(INDEX(Hoja1!$E$2:$E$45,MATCH('Análisis Resultados'!C56,Hoja1!$H$2:$H$45,0)),"")</f>
        <v>Seguimiento a los planes de mejoramiento suscritos con instancias de control internas o externas</v>
      </c>
      <c r="F56" s="116" t="str">
        <f>+IFERROR(VLOOKUP(C56,Hoja1!$H$2:$I$45,2,0),"")</f>
        <v>Si</v>
      </c>
      <c r="G56" s="117" t="str">
        <f t="shared" si="0"/>
        <v>Existe requerimiento pero se requiere actividades  dirigidas a su mantenimiento dentro del marco de las lineas de defensa.</v>
      </c>
      <c r="I56" s="131">
        <f t="shared" si="1"/>
        <v>1</v>
      </c>
      <c r="J56" s="260"/>
    </row>
    <row r="57" spans="1:10" s="1" customFormat="1" ht="54.75" customHeight="1" x14ac:dyDescent="0.25">
      <c r="C57" s="129">
        <v>39</v>
      </c>
      <c r="D57" s="257"/>
      <c r="E57" s="115" t="str">
        <f>+IFERROR(INDEX(Hoja1!$E$2:$E$45,MATCH('Análisis Resultados'!C57,Hoja1!$H$2:$H$45,0)),"")</f>
        <v>La entidad participa en el  Comité Municipal de Auditoría?</v>
      </c>
      <c r="F57" s="116" t="str">
        <f>+IFERROR(VLOOKUP(C57,Hoja1!$H$2:$I$45,2,0),"")</f>
        <v>Si</v>
      </c>
      <c r="G57" s="117" t="str">
        <f t="shared" si="0"/>
        <v>Existe requerimiento pero se requiere actividades  dirigidas a su mantenimiento dentro del marco de las lineas de defensa.</v>
      </c>
      <c r="I57" s="131">
        <f t="shared" si="1"/>
        <v>1</v>
      </c>
      <c r="J57" s="260"/>
    </row>
    <row r="58" spans="1:10" s="1" customFormat="1" ht="68.25" customHeight="1" x14ac:dyDescent="0.25">
      <c r="C58" s="129">
        <v>40</v>
      </c>
      <c r="D58" s="257"/>
      <c r="E58" s="115" t="str">
        <f>+IFERROR(INDEX(Hoja1!$E$2:$E$45,MATCH('Análisis Resultados'!C58,Hoja1!$H$2:$H$45,0)),"")</f>
        <v>Evitar que los problemas (riesgos) obstaculicen el cumplimiento de los objetivos.</v>
      </c>
      <c r="F58" s="116" t="str">
        <f>+IFERROR(VLOOKUP(C58,Hoja1!$H$2:$I$45,2,0),"")</f>
        <v>Si</v>
      </c>
      <c r="G58" s="117" t="str">
        <f t="shared" si="0"/>
        <v>Existe requerimiento pero se requiere actividades  dirigidas a su mantenimiento dentro del marco de las lineas de defensa.</v>
      </c>
      <c r="I58" s="131">
        <f t="shared" si="1"/>
        <v>1</v>
      </c>
      <c r="J58" s="260"/>
    </row>
    <row r="59" spans="1:10" s="1" customFormat="1" ht="45" customHeight="1" x14ac:dyDescent="0.25">
      <c r="C59" s="129">
        <v>41</v>
      </c>
      <c r="D59" s="257"/>
      <c r="E59" s="115" t="str">
        <f>+IFERROR(INDEX(Hoja1!$E$2:$E$45,MATCH('Análisis Resultados'!C59,Hoja1!$H$2:$H$45,0)),"")</f>
        <v>Controlar los puntos críticos en los procesos.</v>
      </c>
      <c r="F59" s="116" t="str">
        <f>+IFERROR(VLOOKUP(C59,Hoja1!$H$2:$I$45,2,0),"")</f>
        <v>Si</v>
      </c>
      <c r="G59" s="117" t="str">
        <f t="shared" si="0"/>
        <v>Existe requerimiento pero se requiere actividades  dirigidas a su mantenimiento dentro del marco de las lineas de defensa.</v>
      </c>
      <c r="I59" s="131">
        <f t="shared" si="1"/>
        <v>1</v>
      </c>
      <c r="J59" s="260"/>
    </row>
    <row r="60" spans="1:10" s="1" customFormat="1" ht="51.75" customHeight="1" x14ac:dyDescent="0.25">
      <c r="C60" s="129">
        <v>42</v>
      </c>
      <c r="D60" s="257"/>
      <c r="E60" s="115" t="str">
        <f>+IFERROR(INDEX(Hoja1!$E$2:$E$45,MATCH('Análisis Resultados'!C60,Hoja1!$H$2:$H$45,0)),"")</f>
        <v>Diseñar acciones adecuadas para controlar los problemas que afectan el cumplimiento de las metas y objetivos institucionales (riesgos).</v>
      </c>
      <c r="F60" s="116" t="str">
        <f>+IFERROR(VLOOKUP(C60,Hoja1!$H$2:$I$45,2,0),"")</f>
        <v>Si</v>
      </c>
      <c r="G60" s="117" t="str">
        <f t="shared" si="0"/>
        <v>Existe requerimiento pero se requiere actividades  dirigidas a su mantenimiento dentro del marco de las lineas de defensa.</v>
      </c>
      <c r="I60" s="131">
        <f t="shared" si="1"/>
        <v>1</v>
      </c>
      <c r="J60" s="260"/>
    </row>
    <row r="61" spans="1:10" s="1" customFormat="1" ht="84" customHeight="1" x14ac:dyDescent="0.25">
      <c r="C61" s="129">
        <v>43</v>
      </c>
      <c r="D61" s="257"/>
      <c r="E61" s="115" t="str">
        <f>+IFERROR(INDEX(Hoja1!$E$2:$E$45,MATCH('Análisis Resultados'!C61,Hoja1!$H$2:$H$45,0)),"")</f>
        <v>Ejecutar las acciones de acuerdo a como se diseñaron previamente.</v>
      </c>
      <c r="F61" s="116" t="str">
        <f>+IFERROR(VLOOKUP(C61,Hoja1!$H$2:$I$45,2,0),"")</f>
        <v>Si</v>
      </c>
      <c r="G61" s="117" t="str">
        <f t="shared" si="0"/>
        <v>Existe requerimiento pero se requiere actividades  dirigidas a su mantenimiento dentro del marco de las lineas de defensa.</v>
      </c>
      <c r="I61" s="131">
        <f t="shared" si="1"/>
        <v>1</v>
      </c>
      <c r="J61" s="260"/>
    </row>
    <row r="62" spans="1:10" s="1" customFormat="1" ht="60" customHeight="1" thickBot="1" x14ac:dyDescent="0.3">
      <c r="C62" s="129">
        <v>44</v>
      </c>
      <c r="D62" s="258"/>
      <c r="E62" s="118" t="str">
        <f>+IFERROR(INDEX(Hoja1!$E$2:$E$45,MATCH('Análisis Resultados'!C62,Hoja1!$H$2:$H$45,0)),"")</f>
        <v>No se gestionan los problemas que afectan el cumplimiento de las funciones y objetivos institucionales(riesgos).</v>
      </c>
      <c r="F62" s="119" t="str">
        <f>+IFERROR(VLOOKUP(C62,Hoja1!$H$2:$I$45,2,0),"")</f>
        <v>Si</v>
      </c>
      <c r="G62" s="120" t="str">
        <f t="shared" si="0"/>
        <v>Existe requerimiento pero se requiere actividades  dirigidas a su mantenimiento dentro del marco de las lineas de defensa.</v>
      </c>
      <c r="I62" s="132">
        <f t="shared" si="1"/>
        <v>1</v>
      </c>
      <c r="J62" s="261"/>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C7:K7"/>
    <mergeCell ref="C9:D9"/>
    <mergeCell ref="E9:F9"/>
    <mergeCell ref="C10:D10"/>
    <mergeCell ref="E10:F10"/>
    <mergeCell ref="C11:D11"/>
    <mergeCell ref="E11:F11"/>
    <mergeCell ref="J17:J18"/>
    <mergeCell ref="D19:D30"/>
    <mergeCell ref="C17:C18"/>
    <mergeCell ref="D17:E17"/>
    <mergeCell ref="F17:F18"/>
    <mergeCell ref="G17:G18"/>
    <mergeCell ref="I17:I18"/>
    <mergeCell ref="J31:J40"/>
    <mergeCell ref="C12:D12"/>
    <mergeCell ref="E12:F12"/>
    <mergeCell ref="J19:J30"/>
    <mergeCell ref="D53:D62"/>
    <mergeCell ref="J53:J62"/>
    <mergeCell ref="D46:D52"/>
    <mergeCell ref="J46:J52"/>
    <mergeCell ref="D41:D45"/>
    <mergeCell ref="J41:J45"/>
    <mergeCell ref="D31:D40"/>
  </mergeCells>
  <conditionalFormatting sqref="I19:I62">
    <cfRule type="cellIs" dxfId="16" priority="4" operator="between">
      <formula>0.75</formula>
      <formula>1</formula>
    </cfRule>
    <cfRule type="cellIs" dxfId="15" priority="5" operator="between">
      <formula>0.5</formula>
      <formula>0.74</formula>
    </cfRule>
    <cfRule type="cellIs" dxfId="14" priority="6" operator="between">
      <formula>0</formula>
      <formula>0.49</formula>
    </cfRule>
  </conditionalFormatting>
  <conditionalFormatting sqref="J19:J31 J41 J46 J53">
    <cfRule type="cellIs" priority="1" operator="between">
      <formula>0.75</formula>
      <formula>1</formula>
    </cfRule>
    <cfRule type="cellIs" dxfId="13" priority="2" operator="between">
      <formula>0.5</formula>
      <formula>0.75</formula>
    </cfRule>
    <cfRule type="cellIs" dxfId="12" priority="3" operator="between">
      <formula>0</formula>
      <formula>0.49</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41"/>
  <sheetViews>
    <sheetView tabSelected="1" zoomScale="64" zoomScaleNormal="64" workbookViewId="0">
      <selection activeCell="I36" sqref="I36"/>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289" t="s">
        <v>123</v>
      </c>
      <c r="F4" s="291" t="s">
        <v>190</v>
      </c>
      <c r="G4" s="291"/>
      <c r="H4" s="291"/>
      <c r="I4" s="291"/>
      <c r="J4" s="291"/>
      <c r="K4" s="291"/>
      <c r="L4" s="291"/>
      <c r="M4" s="291"/>
      <c r="N4" s="6"/>
      <c r="O4" s="6"/>
      <c r="P4" s="7"/>
      <c r="Q4" s="1"/>
    </row>
    <row r="5" spans="1:17" ht="45.75" customHeight="1" x14ac:dyDescent="0.3">
      <c r="A5" s="1"/>
      <c r="B5" s="5"/>
      <c r="C5" s="1"/>
      <c r="D5" s="1"/>
      <c r="E5" s="290"/>
      <c r="F5" s="291"/>
      <c r="G5" s="291"/>
      <c r="H5" s="291"/>
      <c r="I5" s="291"/>
      <c r="J5" s="291"/>
      <c r="K5" s="291"/>
      <c r="L5" s="291"/>
      <c r="M5" s="291"/>
      <c r="N5" s="6"/>
      <c r="O5" s="6"/>
      <c r="P5" s="7"/>
      <c r="Q5" s="1"/>
    </row>
    <row r="6" spans="1:17" ht="66.75" customHeight="1" x14ac:dyDescent="0.3">
      <c r="A6" s="1"/>
      <c r="B6" s="5"/>
      <c r="C6" s="1"/>
      <c r="D6" s="1"/>
      <c r="E6" s="88" t="s">
        <v>124</v>
      </c>
      <c r="F6" s="292" t="s">
        <v>220</v>
      </c>
      <c r="G6" s="293"/>
      <c r="H6" s="293"/>
      <c r="I6" s="293"/>
      <c r="J6" s="293"/>
      <c r="K6" s="293"/>
      <c r="L6" s="293"/>
      <c r="M6" s="294"/>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295" t="s">
        <v>125</v>
      </c>
      <c r="J8" s="296"/>
      <c r="K8" s="297"/>
      <c r="L8" s="1"/>
      <c r="M8" s="137">
        <f>+AVERAGE(G26,G28,G30,G32,G34)</f>
        <v>0.74809523809523815</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298" t="s">
        <v>126</v>
      </c>
      <c r="D18" s="299"/>
      <c r="E18" s="299"/>
      <c r="F18" s="299"/>
      <c r="G18" s="299"/>
      <c r="H18" s="299"/>
      <c r="I18" s="299"/>
      <c r="J18" s="299"/>
      <c r="K18" s="299"/>
      <c r="L18" s="299"/>
      <c r="M18" s="300"/>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301" t="s">
        <v>127</v>
      </c>
      <c r="D20" s="302"/>
      <c r="E20" s="140" t="s">
        <v>75</v>
      </c>
      <c r="F20" s="303" t="s">
        <v>240</v>
      </c>
      <c r="G20" s="303"/>
      <c r="H20" s="303"/>
      <c r="I20" s="303"/>
      <c r="J20" s="303"/>
      <c r="K20" s="303"/>
      <c r="L20" s="303"/>
      <c r="M20" s="304"/>
      <c r="N20" s="14"/>
      <c r="O20" s="14"/>
      <c r="P20" s="7"/>
      <c r="Q20" s="1"/>
    </row>
    <row r="21" spans="1:17" ht="126.75" customHeight="1" x14ac:dyDescent="0.25">
      <c r="A21" s="1"/>
      <c r="B21" s="5"/>
      <c r="C21" s="285" t="s">
        <v>128</v>
      </c>
      <c r="D21" s="286"/>
      <c r="E21" s="141" t="s">
        <v>38</v>
      </c>
      <c r="F21" s="305" t="s">
        <v>241</v>
      </c>
      <c r="G21" s="305"/>
      <c r="H21" s="305"/>
      <c r="I21" s="305"/>
      <c r="J21" s="305"/>
      <c r="K21" s="305"/>
      <c r="L21" s="305"/>
      <c r="M21" s="306"/>
      <c r="N21" s="14"/>
      <c r="O21" s="14"/>
      <c r="P21" s="7"/>
      <c r="Q21" s="1"/>
    </row>
    <row r="22" spans="1:17" ht="151.5" customHeight="1" thickBot="1" x14ac:dyDescent="0.3">
      <c r="A22" s="1"/>
      <c r="B22" s="5"/>
      <c r="C22" s="287" t="s">
        <v>129</v>
      </c>
      <c r="D22" s="288"/>
      <c r="E22" s="142" t="s">
        <v>38</v>
      </c>
      <c r="F22" s="307" t="s">
        <v>242</v>
      </c>
      <c r="G22" s="307"/>
      <c r="H22" s="307"/>
      <c r="I22" s="307"/>
      <c r="J22" s="307"/>
      <c r="K22" s="307"/>
      <c r="L22" s="307"/>
      <c r="M22" s="308"/>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130</v>
      </c>
      <c r="D24" s="92"/>
      <c r="E24" s="91" t="s">
        <v>131</v>
      </c>
      <c r="F24" s="92"/>
      <c r="G24" s="91" t="s">
        <v>132</v>
      </c>
      <c r="H24" s="92"/>
      <c r="I24" s="312" t="s">
        <v>133</v>
      </c>
      <c r="J24" s="312"/>
      <c r="K24" s="312"/>
      <c r="L24" s="312"/>
      <c r="M24" s="312"/>
      <c r="N24" s="30"/>
      <c r="O24" s="30"/>
      <c r="P24" s="7"/>
      <c r="Q24" s="16"/>
    </row>
    <row r="25" spans="1:17" ht="13.5" customHeight="1" thickBot="1" x14ac:dyDescent="0.3">
      <c r="A25" s="1"/>
      <c r="B25" s="5"/>
      <c r="C25" s="29"/>
      <c r="I25" s="316"/>
      <c r="J25" s="316"/>
      <c r="K25" s="316"/>
      <c r="L25" s="316"/>
      <c r="M25" s="316"/>
      <c r="N25" s="31"/>
      <c r="O25" s="31"/>
      <c r="P25" s="7"/>
      <c r="Q25" s="1"/>
    </row>
    <row r="26" spans="1:17" ht="155.25" customHeight="1" thickBot="1" x14ac:dyDescent="0.3">
      <c r="A26" s="1"/>
      <c r="B26" s="5"/>
      <c r="C26" s="82" t="s">
        <v>32</v>
      </c>
      <c r="D26" s="17"/>
      <c r="E26" s="138" t="str">
        <f>+IF(Hoja1!K2&gt;=0.5,"Si","No")</f>
        <v>Si</v>
      </c>
      <c r="F26" s="18"/>
      <c r="G26" s="139">
        <f>+Hoja1!K2</f>
        <v>0.58333333333333337</v>
      </c>
      <c r="H26" s="18"/>
      <c r="I26" s="313" t="s">
        <v>243</v>
      </c>
      <c r="J26" s="314"/>
      <c r="K26" s="314"/>
      <c r="L26" s="314"/>
      <c r="M26" s="315"/>
      <c r="N26" s="32"/>
      <c r="O26" s="33"/>
      <c r="P26" s="19"/>
      <c r="Q26" s="20"/>
    </row>
    <row r="27" spans="1:17" ht="27" thickBot="1" x14ac:dyDescent="0.45">
      <c r="A27" s="1"/>
      <c r="B27" s="5"/>
      <c r="C27" s="83"/>
      <c r="E27" s="90"/>
      <c r="G27" s="21"/>
      <c r="I27" s="317"/>
      <c r="J27" s="317"/>
      <c r="K27" s="317"/>
      <c r="L27" s="317"/>
      <c r="M27" s="317"/>
      <c r="N27" s="34"/>
      <c r="O27" s="34"/>
      <c r="P27" s="7"/>
      <c r="Q27" s="1"/>
    </row>
    <row r="28" spans="1:17" ht="189" customHeight="1" thickBot="1" x14ac:dyDescent="0.3">
      <c r="A28" s="1"/>
      <c r="B28" s="5"/>
      <c r="C28" s="84" t="s">
        <v>134</v>
      </c>
      <c r="D28" s="17"/>
      <c r="E28" s="138" t="str">
        <f>+IF(Hoja1!K14&gt;=0.5,"Si","No")</f>
        <v>Si</v>
      </c>
      <c r="G28" s="139">
        <f>+Hoja1!K14</f>
        <v>0.5</v>
      </c>
      <c r="I28" s="309" t="s">
        <v>244</v>
      </c>
      <c r="J28" s="310"/>
      <c r="K28" s="310"/>
      <c r="L28" s="310"/>
      <c r="M28" s="311"/>
      <c r="N28" s="32"/>
      <c r="O28" s="32"/>
      <c r="P28" s="7"/>
      <c r="Q28" s="1"/>
    </row>
    <row r="29" spans="1:17" ht="27" thickBot="1" x14ac:dyDescent="0.45">
      <c r="A29" s="1"/>
      <c r="B29" s="5"/>
      <c r="C29" s="83"/>
      <c r="E29" s="90"/>
      <c r="G29" s="21"/>
      <c r="I29" s="317"/>
      <c r="J29" s="317"/>
      <c r="K29" s="317"/>
      <c r="L29" s="317"/>
      <c r="M29" s="317"/>
      <c r="N29" s="34"/>
      <c r="O29" s="34"/>
      <c r="P29" s="7"/>
      <c r="Q29" s="1"/>
    </row>
    <row r="30" spans="1:17" ht="123" customHeight="1" thickBot="1" x14ac:dyDescent="0.3">
      <c r="A30" s="1"/>
      <c r="B30" s="5"/>
      <c r="C30" s="85" t="s">
        <v>135</v>
      </c>
      <c r="D30" s="17"/>
      <c r="E30" s="138" t="str">
        <f>+IF(Hoja1!K24&gt;=0.5,"Si","No")</f>
        <v>Si</v>
      </c>
      <c r="G30" s="139">
        <f>+Hoja1!K24</f>
        <v>0.8</v>
      </c>
      <c r="I30" s="309" t="s">
        <v>217</v>
      </c>
      <c r="J30" s="310"/>
      <c r="K30" s="310"/>
      <c r="L30" s="310"/>
      <c r="M30" s="311"/>
      <c r="N30" s="32"/>
      <c r="O30" s="32"/>
      <c r="P30" s="7"/>
      <c r="Q30" s="1"/>
    </row>
    <row r="31" spans="1:17" ht="27" thickBot="1" x14ac:dyDescent="0.45">
      <c r="A31" s="1"/>
      <c r="B31" s="5"/>
      <c r="C31" s="83"/>
      <c r="E31" s="90"/>
      <c r="G31" s="21"/>
      <c r="I31" s="317"/>
      <c r="J31" s="317"/>
      <c r="K31" s="317"/>
      <c r="L31" s="317"/>
      <c r="M31" s="317"/>
      <c r="N31" s="34"/>
      <c r="O31" s="34"/>
      <c r="P31" s="7"/>
      <c r="Q31" s="1"/>
    </row>
    <row r="32" spans="1:17" ht="171" customHeight="1" thickBot="1" x14ac:dyDescent="0.3">
      <c r="A32" s="1"/>
      <c r="B32" s="5"/>
      <c r="C32" s="86" t="s">
        <v>86</v>
      </c>
      <c r="D32" s="17"/>
      <c r="E32" s="138" t="str">
        <f>+IF(Hoja1!K29&gt;=0.5,"Si","No")</f>
        <v>Si</v>
      </c>
      <c r="G32" s="139">
        <f>+Hoja1!K29</f>
        <v>0.8571428571428571</v>
      </c>
      <c r="I32" s="309" t="s">
        <v>218</v>
      </c>
      <c r="J32" s="310"/>
      <c r="K32" s="310"/>
      <c r="L32" s="310"/>
      <c r="M32" s="311"/>
      <c r="N32" s="32"/>
      <c r="O32" s="32"/>
      <c r="P32" s="7"/>
      <c r="Q32" s="1"/>
    </row>
    <row r="33" spans="1:17" ht="27" thickBot="1" x14ac:dyDescent="0.45">
      <c r="A33" s="1"/>
      <c r="B33" s="5"/>
      <c r="C33" s="83"/>
      <c r="E33" s="90"/>
      <c r="G33" s="21"/>
      <c r="I33" s="317"/>
      <c r="J33" s="317"/>
      <c r="K33" s="317"/>
      <c r="L33" s="317"/>
      <c r="M33" s="317"/>
      <c r="N33" s="34"/>
      <c r="O33" s="34"/>
      <c r="P33" s="7"/>
      <c r="Q33" s="1"/>
    </row>
    <row r="34" spans="1:17" ht="164.25" customHeight="1" thickBot="1" x14ac:dyDescent="0.3">
      <c r="A34" s="1"/>
      <c r="B34" s="5"/>
      <c r="C34" s="87" t="s">
        <v>136</v>
      </c>
      <c r="D34" s="17"/>
      <c r="E34" s="89" t="str">
        <f>+IF(Hoja1!K36&gt;=0.5,"Si","No")</f>
        <v>Si</v>
      </c>
      <c r="G34" s="139">
        <f>+Hoja1!K36</f>
        <v>1</v>
      </c>
      <c r="I34" s="309" t="s">
        <v>219</v>
      </c>
      <c r="J34" s="310"/>
      <c r="K34" s="310"/>
      <c r="L34" s="310"/>
      <c r="M34" s="311"/>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I34:M34"/>
    <mergeCell ref="I30:M30"/>
    <mergeCell ref="I32:M32"/>
    <mergeCell ref="I24:M24"/>
    <mergeCell ref="I26:M26"/>
    <mergeCell ref="I28:M28"/>
    <mergeCell ref="I25:M25"/>
    <mergeCell ref="I27:M27"/>
    <mergeCell ref="I29:M29"/>
    <mergeCell ref="I31:M31"/>
    <mergeCell ref="I33:M33"/>
    <mergeCell ref="C21:D21"/>
    <mergeCell ref="C22:D22"/>
    <mergeCell ref="E4:E5"/>
    <mergeCell ref="F4:M5"/>
    <mergeCell ref="F6:M6"/>
    <mergeCell ref="I8:K8"/>
    <mergeCell ref="C18:M18"/>
    <mergeCell ref="C20:D20"/>
    <mergeCell ref="F20:M20"/>
    <mergeCell ref="F21:M21"/>
    <mergeCell ref="F22:M22"/>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5" priority="1" operator="between">
      <formula>0.75</formula>
      <formula>1</formula>
    </cfRule>
    <cfRule type="cellIs" dxfId="4" priority="2" operator="between">
      <formula>0.5</formula>
      <formula>0.75</formula>
    </cfRule>
    <cfRule type="cellIs" dxfId="3" priority="3" operator="between">
      <formula>0</formula>
      <formula>0.49</formula>
    </cfRule>
    <cfRule type="cellIs" priority="27" operator="between">
      <formula>0.76</formula>
      <formula>1</formula>
    </cfRule>
    <cfRule type="cellIs" dxfId="2" priority="28" operator="between">
      <formula>0.51</formula>
      <formula>0.75</formula>
    </cfRule>
    <cfRule type="cellIs" dxfId="1" priority="29" operator="between">
      <formula>0.26</formula>
      <formula>0.5</formula>
    </cfRule>
    <cfRule type="cellIs" dxfId="0"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scale="24"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'C:\Users\dell\Desktop\cesar\HISTORICOS\[2020-04-22_Formato_informe_sci_parametrizado_final.xlsx]Analisis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43" t="s">
        <v>25</v>
      </c>
      <c r="B1" s="143" t="s">
        <v>6</v>
      </c>
      <c r="C1" s="144" t="s">
        <v>8</v>
      </c>
      <c r="D1" s="145" t="s">
        <v>26</v>
      </c>
      <c r="E1" s="145" t="s">
        <v>27</v>
      </c>
      <c r="F1" s="145" t="s">
        <v>137</v>
      </c>
      <c r="G1" s="146" t="s">
        <v>138</v>
      </c>
      <c r="H1" s="146" t="s">
        <v>139</v>
      </c>
      <c r="I1" s="146" t="s">
        <v>118</v>
      </c>
      <c r="J1" s="146" t="s">
        <v>140</v>
      </c>
      <c r="K1" s="146" t="s">
        <v>141</v>
      </c>
    </row>
    <row r="2" spans="1:11" x14ac:dyDescent="0.25">
      <c r="A2" s="147" t="s">
        <v>142</v>
      </c>
      <c r="B2" s="147" t="str">
        <f>+VLOOKUP(A2,'Estado SCI'!$A$16:$C$59,3,0)</f>
        <v>AMBIENTE DE CONTROL</v>
      </c>
      <c r="C2" s="147" t="s">
        <v>33</v>
      </c>
      <c r="D2" s="147" t="s">
        <v>34</v>
      </c>
      <c r="E2" s="147" t="s">
        <v>35</v>
      </c>
      <c r="F2" s="147" t="str">
        <f>+VLOOKUP(A2,'Estado SCI'!$A$16:$I$59,9,0)</f>
        <v>Mantenimiento del control</v>
      </c>
      <c r="G2" s="147">
        <f>+VLOOKUP(A2,'Estado SCI'!$A$16:$L$59,12,0)</f>
        <v>20.123000000000001</v>
      </c>
      <c r="H2" s="147">
        <f t="shared" ref="H2:H45" si="0">+_xlfn.RANK.EQ(G2,$G$2:$G$45,1)</f>
        <v>9</v>
      </c>
      <c r="I2" s="147" t="str">
        <f>+IF(VLOOKUP(A2,'Estado SCI'!$A$16:$G$59,7,0)="","",VLOOKUP(A2,'Estado SCI'!$A$16:$G$59,7,0))</f>
        <v>Si</v>
      </c>
      <c r="J2" s="148">
        <f>+IF(I2="Si",1,IF(I2="En proceso",0.5,0))</f>
        <v>1</v>
      </c>
      <c r="K2" s="149">
        <f t="shared" ref="K2:K45" si="1">+AVERAGEIF($B$2:$B$45,B2,$J$2:$J$45)</f>
        <v>0.58333333333333337</v>
      </c>
    </row>
    <row r="3" spans="1:11" x14ac:dyDescent="0.25">
      <c r="A3" s="147" t="s">
        <v>143</v>
      </c>
      <c r="B3" s="147" t="s">
        <v>32</v>
      </c>
      <c r="C3" s="147" t="s">
        <v>33</v>
      </c>
      <c r="D3" s="147" t="s">
        <v>36</v>
      </c>
      <c r="E3" s="147" t="s">
        <v>37</v>
      </c>
      <c r="F3" s="147" t="str">
        <f>+VLOOKUP(A3,'Estado SCI'!$A$16:$I$59,9,0)</f>
        <v>Oportunidad de mejora</v>
      </c>
      <c r="G3" s="147">
        <f>+VLOOKUP(A3,'Estado SCI'!$A$16:$L$59,12,0)</f>
        <v>10.1234</v>
      </c>
      <c r="H3" s="147">
        <f t="shared" si="0"/>
        <v>3</v>
      </c>
      <c r="I3" s="147" t="str">
        <f>+IF(VLOOKUP(A3,'Estado SCI'!$A$16:$G$59,7,0)="","",VLOOKUP(A3,'Estado SCI'!$A$16:$G$59,7,0))</f>
        <v>En proceso</v>
      </c>
      <c r="J3" s="148">
        <f t="shared" ref="J3:J45" si="2">+IF(I3="Si",1,IF(I3="En proceso",0.5,0))</f>
        <v>0.5</v>
      </c>
      <c r="K3" s="149">
        <f t="shared" si="1"/>
        <v>0.58333333333333337</v>
      </c>
    </row>
    <row r="4" spans="1:11" x14ac:dyDescent="0.25">
      <c r="A4" s="147" t="s">
        <v>144</v>
      </c>
      <c r="B4" s="147" t="s">
        <v>32</v>
      </c>
      <c r="C4" s="147" t="s">
        <v>33</v>
      </c>
      <c r="D4" s="147" t="s">
        <v>39</v>
      </c>
      <c r="E4" s="147" t="s">
        <v>40</v>
      </c>
      <c r="F4" s="147" t="str">
        <f>+VLOOKUP(A4,'Estado SCI'!$A$16:$I$59,9,0)</f>
        <v>Mantenimiento del control</v>
      </c>
      <c r="G4" s="147">
        <f>+VLOOKUP(A4,'Estado SCI'!$A$16:$L$59,12,0)</f>
        <v>20.123449999999998</v>
      </c>
      <c r="H4" s="147">
        <f t="shared" si="0"/>
        <v>10</v>
      </c>
      <c r="I4" s="147" t="str">
        <f>+IF(VLOOKUP(A4,'Estado SCI'!$A$16:$G$59,7,0)="","",VLOOKUP(A4,'Estado SCI'!$A$16:$G$59,7,0))</f>
        <v>Si</v>
      </c>
      <c r="J4" s="148">
        <f t="shared" si="2"/>
        <v>1</v>
      </c>
      <c r="K4" s="149">
        <f t="shared" si="1"/>
        <v>0.58333333333333337</v>
      </c>
    </row>
    <row r="5" spans="1:11" x14ac:dyDescent="0.25">
      <c r="A5" s="147" t="s">
        <v>145</v>
      </c>
      <c r="B5" s="147" t="s">
        <v>32</v>
      </c>
      <c r="C5" s="147" t="s">
        <v>33</v>
      </c>
      <c r="D5" s="147" t="s">
        <v>41</v>
      </c>
      <c r="E5" s="147" t="s">
        <v>42</v>
      </c>
      <c r="F5" s="147" t="str">
        <f>+VLOOKUP(A5,'Estado SCI'!$A$16:$I$59,9,0)</f>
        <v>Oportunidad de mejora</v>
      </c>
      <c r="G5" s="147">
        <f>+VLOOKUP(A5,'Estado SCI'!$A$16:$L$59,12,0)</f>
        <v>10.123455999999999</v>
      </c>
      <c r="H5" s="147">
        <f t="shared" si="0"/>
        <v>4</v>
      </c>
      <c r="I5" s="147" t="str">
        <f>+IF(VLOOKUP(A5,'Estado SCI'!$A$16:$G$59,7,0)="","",VLOOKUP(A5,'Estado SCI'!$A$16:$G$59,7,0))</f>
        <v>En proceso</v>
      </c>
      <c r="J5" s="148">
        <f t="shared" si="2"/>
        <v>0.5</v>
      </c>
      <c r="K5" s="149">
        <f t="shared" si="1"/>
        <v>0.58333333333333337</v>
      </c>
    </row>
    <row r="6" spans="1:11" x14ac:dyDescent="0.25">
      <c r="A6" s="147" t="s">
        <v>146</v>
      </c>
      <c r="B6" s="147" t="s">
        <v>32</v>
      </c>
      <c r="C6" s="147" t="s">
        <v>33</v>
      </c>
      <c r="D6" s="147" t="s">
        <v>43</v>
      </c>
      <c r="E6" s="147" t="s">
        <v>44</v>
      </c>
      <c r="F6" s="147" t="str">
        <f>+VLOOKUP(A6,'Estado SCI'!$A$16:$I$59,9,0)</f>
        <v>Mantenimiento del control</v>
      </c>
      <c r="G6" s="147">
        <f>+VLOOKUP(A6,'Estado SCI'!$A$16:$L$59,12,0)</f>
        <v>20.123456780000001</v>
      </c>
      <c r="H6" s="147">
        <f t="shared" si="0"/>
        <v>11</v>
      </c>
      <c r="I6" s="147" t="str">
        <f>+IF(VLOOKUP(A6,'Estado SCI'!$A$16:$G$59,7,0)="","",VLOOKUP(A6,'Estado SCI'!$A$16:$G$59,7,0))</f>
        <v>Si</v>
      </c>
      <c r="J6" s="148">
        <f t="shared" si="2"/>
        <v>1</v>
      </c>
      <c r="K6" s="149">
        <f t="shared" si="1"/>
        <v>0.58333333333333337</v>
      </c>
    </row>
    <row r="7" spans="1:11" x14ac:dyDescent="0.25">
      <c r="A7" s="147" t="s">
        <v>147</v>
      </c>
      <c r="B7" s="147" t="s">
        <v>32</v>
      </c>
      <c r="C7" s="147" t="s">
        <v>33</v>
      </c>
      <c r="D7" s="147" t="s">
        <v>45</v>
      </c>
      <c r="E7" s="147" t="s">
        <v>46</v>
      </c>
      <c r="F7" s="147" t="str">
        <f>+VLOOKUP(A7,'Estado SCI'!$A$16:$I$59,9,0)</f>
        <v>Oportunidad de mejora</v>
      </c>
      <c r="G7" s="147">
        <f>+VLOOKUP(A7,'Estado SCI'!$A$16:$L$59,12,0)</f>
        <v>10.123456789</v>
      </c>
      <c r="H7" s="147">
        <f t="shared" si="0"/>
        <v>5</v>
      </c>
      <c r="I7" s="147" t="str">
        <f>+IF(VLOOKUP(A7,'Estado SCI'!$A$16:$G$59,7,0)="","",VLOOKUP(A7,'Estado SCI'!$A$16:$G$59,7,0))</f>
        <v>En proceso</v>
      </c>
      <c r="J7" s="148">
        <f t="shared" si="2"/>
        <v>0.5</v>
      </c>
      <c r="K7" s="149">
        <f t="shared" si="1"/>
        <v>0.58333333333333337</v>
      </c>
    </row>
    <row r="8" spans="1:11" x14ac:dyDescent="0.25">
      <c r="A8" s="147" t="s">
        <v>148</v>
      </c>
      <c r="B8" s="147" t="s">
        <v>32</v>
      </c>
      <c r="C8" s="147" t="s">
        <v>33</v>
      </c>
      <c r="D8" s="147" t="s">
        <v>47</v>
      </c>
      <c r="E8" s="147" t="s">
        <v>48</v>
      </c>
      <c r="F8" s="147" t="str">
        <f>+VLOOKUP(A8,'Estado SCI'!$A$16:$I$59,9,0)</f>
        <v>Mantenimiento del control</v>
      </c>
      <c r="G8" s="147">
        <f>+VLOOKUP(A8,'Estado SCI'!$A$16:$L$59,12,0)</f>
        <v>20.1234567891</v>
      </c>
      <c r="H8" s="147">
        <f t="shared" si="0"/>
        <v>12</v>
      </c>
      <c r="I8" s="147" t="str">
        <f>+IF(VLOOKUP(A8,'Estado SCI'!$A$16:$G$59,7,0)="","",VLOOKUP(A8,'Estado SCI'!$A$16:$G$59,7,0))</f>
        <v>Si</v>
      </c>
      <c r="J8" s="148">
        <f t="shared" si="2"/>
        <v>1</v>
      </c>
      <c r="K8" s="149">
        <f t="shared" si="1"/>
        <v>0.58333333333333337</v>
      </c>
    </row>
    <row r="9" spans="1:11" x14ac:dyDescent="0.25">
      <c r="A9" s="147" t="s">
        <v>149</v>
      </c>
      <c r="B9" s="147" t="s">
        <v>32</v>
      </c>
      <c r="C9" s="147" t="s">
        <v>33</v>
      </c>
      <c r="D9" s="147" t="s">
        <v>49</v>
      </c>
      <c r="E9" s="147" t="s">
        <v>50</v>
      </c>
      <c r="F9" s="147" t="str">
        <f>+VLOOKUP(A9,'Estado SCI'!$A$16:$I$59,9,0)</f>
        <v>Oportunidad de mejora</v>
      </c>
      <c r="G9" s="147">
        <f>+VLOOKUP(A9,'Estado SCI'!$A$16:$L$59,12,0)</f>
        <v>10.12345678912</v>
      </c>
      <c r="H9" s="147">
        <f t="shared" si="0"/>
        <v>6</v>
      </c>
      <c r="I9" s="147" t="str">
        <f>+IF(VLOOKUP(A9,'Estado SCI'!$A$16:$G$59,7,0)="","",VLOOKUP(A9,'Estado SCI'!$A$16:$G$59,7,0))</f>
        <v>En proceso</v>
      </c>
      <c r="J9" s="148">
        <f t="shared" si="2"/>
        <v>0.5</v>
      </c>
      <c r="K9" s="149">
        <f t="shared" si="1"/>
        <v>0.58333333333333337</v>
      </c>
    </row>
    <row r="10" spans="1:11" x14ac:dyDescent="0.25">
      <c r="A10" s="147" t="s">
        <v>150</v>
      </c>
      <c r="B10" s="147" t="s">
        <v>32</v>
      </c>
      <c r="C10" s="147" t="s">
        <v>33</v>
      </c>
      <c r="D10" s="147" t="s">
        <v>51</v>
      </c>
      <c r="E10" s="147" t="s">
        <v>52</v>
      </c>
      <c r="F10" s="147" t="str">
        <f>+VLOOKUP(A10,'Estado SCI'!$A$16:$I$59,9,0)</f>
        <v>Deficiencia de control</v>
      </c>
      <c r="G10" s="147">
        <f>+VLOOKUP(A10,'Estado SCI'!$A$16:$L$59,12,0)</f>
        <v>0.123456789123</v>
      </c>
      <c r="H10" s="147">
        <f t="shared" si="0"/>
        <v>1</v>
      </c>
      <c r="I10" s="147" t="str">
        <f>+IF(VLOOKUP(A10,'Estado SCI'!$A$16:$G$59,7,0)="","",VLOOKUP(A10,'Estado SCI'!$A$16:$G$59,7,0))</f>
        <v>No</v>
      </c>
      <c r="J10" s="148">
        <f t="shared" si="2"/>
        <v>0</v>
      </c>
      <c r="K10" s="149">
        <f t="shared" si="1"/>
        <v>0.58333333333333337</v>
      </c>
    </row>
    <row r="11" spans="1:11" x14ac:dyDescent="0.25">
      <c r="A11" s="147" t="s">
        <v>151</v>
      </c>
      <c r="B11" s="147" t="s">
        <v>32</v>
      </c>
      <c r="C11" s="147" t="s">
        <v>33</v>
      </c>
      <c r="D11" s="147" t="s">
        <v>53</v>
      </c>
      <c r="E11" s="147" t="s">
        <v>54</v>
      </c>
      <c r="F11" s="147" t="str">
        <f>+VLOOKUP(A11,'Estado SCI'!$A$16:$I$59,9,0)</f>
        <v>Oportunidad de mejora</v>
      </c>
      <c r="G11" s="147">
        <f>+VLOOKUP(A11,'Estado SCI'!$A$16:$L$59,12,0)</f>
        <v>10.1234567891234</v>
      </c>
      <c r="H11" s="147">
        <f t="shared" si="0"/>
        <v>7</v>
      </c>
      <c r="I11" s="147" t="str">
        <f>+IF(VLOOKUP(A11,'Estado SCI'!$A$16:$G$59,7,0)="","",VLOOKUP(A11,'Estado SCI'!$A$16:$G$59,7,0))</f>
        <v>En proceso</v>
      </c>
      <c r="J11" s="148">
        <f t="shared" si="2"/>
        <v>0.5</v>
      </c>
      <c r="K11" s="149">
        <f t="shared" si="1"/>
        <v>0.58333333333333337</v>
      </c>
    </row>
    <row r="12" spans="1:11" x14ac:dyDescent="0.25">
      <c r="A12" s="147" t="s">
        <v>152</v>
      </c>
      <c r="B12" s="147" t="s">
        <v>32</v>
      </c>
      <c r="C12" s="147" t="s">
        <v>33</v>
      </c>
      <c r="D12" s="147" t="s">
        <v>55</v>
      </c>
      <c r="E12" s="147" t="s">
        <v>56</v>
      </c>
      <c r="F12" s="147" t="str">
        <f>+VLOOKUP(A12,'Estado SCI'!$A$16:$I$59,9,0)</f>
        <v>Oportunidad de mejora</v>
      </c>
      <c r="G12" s="147">
        <f>+VLOOKUP(A12,'Estado SCI'!$A$16:$L$59,12,0)</f>
        <v>10.12345678912345</v>
      </c>
      <c r="H12" s="147">
        <f t="shared" si="0"/>
        <v>8</v>
      </c>
      <c r="I12" s="147" t="str">
        <f>+IF(VLOOKUP(A12,'Estado SCI'!$A$16:$G$59,7,0)="","",VLOOKUP(A12,'Estado SCI'!$A$16:$G$59,7,0))</f>
        <v>En proceso</v>
      </c>
      <c r="J12" s="148">
        <f t="shared" si="2"/>
        <v>0.5</v>
      </c>
      <c r="K12" s="149">
        <f t="shared" si="1"/>
        <v>0.58333333333333337</v>
      </c>
    </row>
    <row r="13" spans="1:11" x14ac:dyDescent="0.25">
      <c r="A13" s="147" t="s">
        <v>153</v>
      </c>
      <c r="B13" s="147" t="s">
        <v>32</v>
      </c>
      <c r="C13" s="147" t="s">
        <v>33</v>
      </c>
      <c r="D13" s="147" t="s">
        <v>57</v>
      </c>
      <c r="E13" s="147" t="s">
        <v>58</v>
      </c>
      <c r="F13" s="147" t="str">
        <f>+VLOOKUP(A13,'Estado SCI'!$A$16:$I$59,9,0)</f>
        <v>Deficiencia de control</v>
      </c>
      <c r="G13" s="147">
        <f>+VLOOKUP(A13,'Estado SCI'!$A$16:$L$59,12,0)</f>
        <v>0.12345678912345601</v>
      </c>
      <c r="H13" s="147">
        <f t="shared" si="0"/>
        <v>2</v>
      </c>
      <c r="I13" s="147" t="str">
        <f>+IF(VLOOKUP(A13,'Estado SCI'!$A$16:$G$59,7,0)="","",VLOOKUP(A13,'Estado SCI'!$A$16:$G$59,7,0))</f>
        <v>No</v>
      </c>
      <c r="J13" s="148">
        <f t="shared" si="2"/>
        <v>0</v>
      </c>
      <c r="K13" s="149">
        <f t="shared" si="1"/>
        <v>0.58333333333333337</v>
      </c>
    </row>
    <row r="14" spans="1:11" ht="15" customHeight="1" x14ac:dyDescent="0.25">
      <c r="A14" s="147" t="s">
        <v>154</v>
      </c>
      <c r="B14" s="147" t="str">
        <f>+VLOOKUP(A14,'Estado SCI'!$A$16:$C$59,3,0)</f>
        <v>EVALUACION DEL RIESGO</v>
      </c>
      <c r="C14" s="147" t="s">
        <v>61</v>
      </c>
      <c r="D14" s="147" t="s">
        <v>34</v>
      </c>
      <c r="E14" s="147" t="s">
        <v>155</v>
      </c>
      <c r="F14" s="147" t="str">
        <f>+VLOOKUP(A14,'Estado SCI'!$A$16:$I$59,9,0)</f>
        <v>Oportunidad de mejora</v>
      </c>
      <c r="G14" s="147">
        <f>+VLOOKUP(A14,'Estado SCI'!$A$16:$L$59,12,0)</f>
        <v>30.23</v>
      </c>
      <c r="H14" s="147">
        <f t="shared" si="0"/>
        <v>15</v>
      </c>
      <c r="I14" s="147" t="str">
        <f>+IF(VLOOKUP(A14,'Estado SCI'!$A$16:$G$59,7,0)="","",VLOOKUP(A14,'Estado SCI'!$A$16:$G$59,7,0))</f>
        <v>En proceso</v>
      </c>
      <c r="J14" s="148">
        <f t="shared" si="2"/>
        <v>0.5</v>
      </c>
      <c r="K14" s="149">
        <f t="shared" si="1"/>
        <v>0.5</v>
      </c>
    </row>
    <row r="15" spans="1:11" ht="15" customHeight="1" x14ac:dyDescent="0.25">
      <c r="A15" s="147" t="s">
        <v>156</v>
      </c>
      <c r="B15" s="147" t="s">
        <v>60</v>
      </c>
      <c r="C15" s="147" t="s">
        <v>61</v>
      </c>
      <c r="D15" s="147" t="s">
        <v>36</v>
      </c>
      <c r="E15" s="147" t="s">
        <v>157</v>
      </c>
      <c r="F15" s="147" t="str">
        <f>+VLOOKUP(A15,'Estado SCI'!$A$16:$I$59,9,0)</f>
        <v>Oportunidad de mejora</v>
      </c>
      <c r="G15" s="147">
        <f>+VLOOKUP(A15,'Estado SCI'!$A$16:$L$59,12,0)</f>
        <v>30.234000000000002</v>
      </c>
      <c r="H15" s="147">
        <f t="shared" si="0"/>
        <v>16</v>
      </c>
      <c r="I15" s="147" t="str">
        <f>+IF(VLOOKUP(A15,'Estado SCI'!$A$16:$G$59,7,0)="","",VLOOKUP(A15,'Estado SCI'!$A$16:$G$59,7,0))</f>
        <v>En proceso</v>
      </c>
      <c r="J15" s="148">
        <f t="shared" si="2"/>
        <v>0.5</v>
      </c>
      <c r="K15" s="149">
        <f t="shared" si="1"/>
        <v>0.5</v>
      </c>
    </row>
    <row r="16" spans="1:11" ht="15" customHeight="1" x14ac:dyDescent="0.25">
      <c r="A16" s="147" t="s">
        <v>158</v>
      </c>
      <c r="B16" s="147" t="s">
        <v>60</v>
      </c>
      <c r="C16" s="147" t="s">
        <v>61</v>
      </c>
      <c r="D16" s="147" t="s">
        <v>39</v>
      </c>
      <c r="E16" s="147" t="s">
        <v>159</v>
      </c>
      <c r="F16" s="147" t="str">
        <f>+VLOOKUP(A16,'Estado SCI'!$A$16:$I$59,9,0)</f>
        <v>Mantenimiento del control</v>
      </c>
      <c r="G16" s="147">
        <f>+VLOOKUP(A16,'Estado SCI'!$A$16:$L$59,12,0)</f>
        <v>40.234499999999997</v>
      </c>
      <c r="H16" s="147">
        <f t="shared" si="0"/>
        <v>21</v>
      </c>
      <c r="I16" s="147" t="str">
        <f>+IF(VLOOKUP(A16,'Estado SCI'!$A$16:$G$59,7,0)="","",VLOOKUP(A16,'Estado SCI'!$A$16:$G$59,7,0))</f>
        <v>Si</v>
      </c>
      <c r="J16" s="148">
        <f t="shared" si="2"/>
        <v>1</v>
      </c>
      <c r="K16" s="149">
        <f t="shared" si="1"/>
        <v>0.5</v>
      </c>
    </row>
    <row r="17" spans="1:11" ht="15.75" customHeight="1" x14ac:dyDescent="0.25">
      <c r="A17" s="147" t="s">
        <v>160</v>
      </c>
      <c r="B17" s="147" t="s">
        <v>60</v>
      </c>
      <c r="C17" s="147" t="s">
        <v>61</v>
      </c>
      <c r="D17" s="147" t="s">
        <v>41</v>
      </c>
      <c r="E17" s="147" t="s">
        <v>65</v>
      </c>
      <c r="F17" s="147" t="str">
        <f>+VLOOKUP(A17,'Estado SCI'!$A$16:$I$59,9,0)</f>
        <v>Mantenimiento del control</v>
      </c>
      <c r="G17" s="147">
        <f>+VLOOKUP(A17,'Estado SCI'!$A$16:$L$59,12,0)</f>
        <v>40.234560000000002</v>
      </c>
      <c r="H17" s="147">
        <f t="shared" si="0"/>
        <v>22</v>
      </c>
      <c r="I17" s="147" t="str">
        <f>+IF(VLOOKUP(A17,'Estado SCI'!$A$16:$G$59,7,0)="","",VLOOKUP(A17,'Estado SCI'!$A$16:$G$59,7,0))</f>
        <v>Si</v>
      </c>
      <c r="J17" s="148">
        <f t="shared" si="2"/>
        <v>1</v>
      </c>
      <c r="K17" s="149">
        <f t="shared" si="1"/>
        <v>0.5</v>
      </c>
    </row>
    <row r="18" spans="1:11" ht="15" customHeight="1" x14ac:dyDescent="0.25">
      <c r="A18" s="147" t="s">
        <v>161</v>
      </c>
      <c r="B18" s="147" t="s">
        <v>60</v>
      </c>
      <c r="C18" s="147" t="s">
        <v>79</v>
      </c>
      <c r="D18" s="147" t="s">
        <v>34</v>
      </c>
      <c r="E18" s="147" t="s">
        <v>68</v>
      </c>
      <c r="F18" s="147" t="str">
        <f>+VLOOKUP(A18,'Estado SCI'!$A$16:$I$59,9,0)</f>
        <v>Deficiencia de control</v>
      </c>
      <c r="G18" s="147">
        <f>+VLOOKUP(A18,'Estado SCI'!$A$16:$L$59,12,0)</f>
        <v>20.234566999999998</v>
      </c>
      <c r="H18" s="147">
        <f t="shared" si="0"/>
        <v>13</v>
      </c>
      <c r="I18" s="147" t="str">
        <f>+IF(VLOOKUP(A18,'Estado SCI'!$A$16:$G$59,7,0)="","",VLOOKUP(A18,'Estado SCI'!$A$16:$G$59,7,0))</f>
        <v>No</v>
      </c>
      <c r="J18" s="148">
        <f t="shared" si="2"/>
        <v>0</v>
      </c>
      <c r="K18" s="149">
        <f t="shared" si="1"/>
        <v>0.5</v>
      </c>
    </row>
    <row r="19" spans="1:11" ht="15" customHeight="1" x14ac:dyDescent="0.25">
      <c r="A19" s="147" t="s">
        <v>162</v>
      </c>
      <c r="B19" s="147" t="s">
        <v>60</v>
      </c>
      <c r="C19" s="147" t="s">
        <v>79</v>
      </c>
      <c r="D19" s="147" t="s">
        <v>36</v>
      </c>
      <c r="E19" s="147" t="s">
        <v>69</v>
      </c>
      <c r="F19" s="147" t="str">
        <f>+VLOOKUP(A19,'Estado SCI'!$A$16:$I$59,9,0)</f>
        <v>Oportunidad de mejora</v>
      </c>
      <c r="G19" s="147">
        <f>+VLOOKUP(A19,'Estado SCI'!$A$16:$L$59,12,0)</f>
        <v>30.234567800000001</v>
      </c>
      <c r="H19" s="147">
        <f t="shared" si="0"/>
        <v>17</v>
      </c>
      <c r="I19" s="147" t="str">
        <f>+IF(VLOOKUP(A19,'Estado SCI'!$A$16:$G$59,7,0)="","",VLOOKUP(A19,'Estado SCI'!$A$16:$G$59,7,0))</f>
        <v>En proceso</v>
      </c>
      <c r="J19" s="148">
        <f t="shared" si="2"/>
        <v>0.5</v>
      </c>
      <c r="K19" s="149">
        <f t="shared" si="1"/>
        <v>0.5</v>
      </c>
    </row>
    <row r="20" spans="1:11" ht="15" customHeight="1" x14ac:dyDescent="0.25">
      <c r="A20" s="147" t="s">
        <v>163</v>
      </c>
      <c r="B20" s="147" t="s">
        <v>60</v>
      </c>
      <c r="C20" s="147" t="s">
        <v>79</v>
      </c>
      <c r="D20" s="147" t="s">
        <v>39</v>
      </c>
      <c r="E20" s="147" t="s">
        <v>70</v>
      </c>
      <c r="F20" s="147" t="str">
        <f>+VLOOKUP(A20,'Estado SCI'!$A$16:$I$59,9,0)</f>
        <v>Oportunidad de mejora</v>
      </c>
      <c r="G20" s="147">
        <f>+VLOOKUP(A20,'Estado SCI'!$A$16:$L$59,12,0)</f>
        <v>30.234567890000001</v>
      </c>
      <c r="H20" s="147">
        <f t="shared" si="0"/>
        <v>18</v>
      </c>
      <c r="I20" s="147" t="str">
        <f>+IF(VLOOKUP(A20,'Estado SCI'!$A$16:$G$59,7,0)="","",VLOOKUP(A20,'Estado SCI'!$A$16:$G$59,7,0))</f>
        <v>En proceso</v>
      </c>
      <c r="J20" s="148">
        <f t="shared" si="2"/>
        <v>0.5</v>
      </c>
      <c r="K20" s="149">
        <f t="shared" si="1"/>
        <v>0.5</v>
      </c>
    </row>
    <row r="21" spans="1:11" ht="15.75" customHeight="1" x14ac:dyDescent="0.25">
      <c r="A21" s="147" t="s">
        <v>164</v>
      </c>
      <c r="B21" s="147" t="s">
        <v>60</v>
      </c>
      <c r="C21" s="147" t="s">
        <v>79</v>
      </c>
      <c r="D21" s="147" t="s">
        <v>34</v>
      </c>
      <c r="E21" s="147" t="s">
        <v>73</v>
      </c>
      <c r="F21" s="147" t="str">
        <f>+VLOOKUP(A21,'Estado SCI'!$A$16:$I$59,9,0)</f>
        <v>Oportunidad de mejora</v>
      </c>
      <c r="G21" s="147">
        <f>+VLOOKUP(A21,'Estado SCI'!$A$16:$L$59,12,0)</f>
        <v>30.234567891200001</v>
      </c>
      <c r="H21" s="147">
        <f t="shared" si="0"/>
        <v>19</v>
      </c>
      <c r="I21" s="147" t="str">
        <f>+IF(VLOOKUP(A21,'Estado SCI'!$A$16:$G$59,7,0)="","",VLOOKUP(A21,'Estado SCI'!$A$16:$G$59,7,0))</f>
        <v>En proceso</v>
      </c>
      <c r="J21" s="148">
        <f t="shared" si="2"/>
        <v>0.5</v>
      </c>
      <c r="K21" s="149">
        <f t="shared" si="1"/>
        <v>0.5</v>
      </c>
    </row>
    <row r="22" spans="1:11" ht="15" customHeight="1" x14ac:dyDescent="0.25">
      <c r="A22" s="147" t="s">
        <v>165</v>
      </c>
      <c r="B22" s="147" t="s">
        <v>60</v>
      </c>
      <c r="C22" s="147" t="s">
        <v>87</v>
      </c>
      <c r="D22" s="147" t="s">
        <v>36</v>
      </c>
      <c r="E22" s="147" t="s">
        <v>74</v>
      </c>
      <c r="F22" s="147" t="str">
        <f>+VLOOKUP(A22,'Estado SCI'!$A$16:$I$59,9,0)</f>
        <v>Deficiencia de control</v>
      </c>
      <c r="G22" s="147">
        <f>+VLOOKUP(A22,'Estado SCI'!$A$16:$L$59,12,0)</f>
        <v>20.23456789123</v>
      </c>
      <c r="H22" s="147">
        <f t="shared" si="0"/>
        <v>14</v>
      </c>
      <c r="I22" s="147" t="str">
        <f>+IF(VLOOKUP(A22,'Estado SCI'!$A$16:$G$59,7,0)="","",VLOOKUP(A22,'Estado SCI'!$A$16:$G$59,7,0))</f>
        <v>No</v>
      </c>
      <c r="J22" s="148">
        <f t="shared" si="2"/>
        <v>0</v>
      </c>
      <c r="K22" s="149">
        <f t="shared" si="1"/>
        <v>0.5</v>
      </c>
    </row>
    <row r="23" spans="1:11" ht="15" customHeight="1" x14ac:dyDescent="0.25">
      <c r="A23" s="147" t="s">
        <v>166</v>
      </c>
      <c r="B23" s="147" t="s">
        <v>60</v>
      </c>
      <c r="C23" s="147" t="s">
        <v>87</v>
      </c>
      <c r="D23" s="147" t="s">
        <v>39</v>
      </c>
      <c r="E23" s="147" t="s">
        <v>76</v>
      </c>
      <c r="F23" s="147" t="str">
        <f>+VLOOKUP(A23,'Estado SCI'!$A$16:$I$59,9,0)</f>
        <v>Oportunidad de mejora</v>
      </c>
      <c r="G23" s="147">
        <f>+VLOOKUP(A23,'Estado SCI'!$A$16:$L$59,12,0)</f>
        <v>30.234567891234001</v>
      </c>
      <c r="H23" s="147">
        <f t="shared" si="0"/>
        <v>20</v>
      </c>
      <c r="I23" s="147" t="str">
        <f>+IF(VLOOKUP(A23,'Estado SCI'!$A$16:$G$59,7,0)="","",VLOOKUP(A23,'Estado SCI'!$A$16:$G$59,7,0))</f>
        <v>En proceso</v>
      </c>
      <c r="J23" s="148">
        <f t="shared" si="2"/>
        <v>0.5</v>
      </c>
      <c r="K23" s="149">
        <f t="shared" si="1"/>
        <v>0.5</v>
      </c>
    </row>
    <row r="24" spans="1:11" ht="15" customHeight="1" x14ac:dyDescent="0.25">
      <c r="A24" s="147" t="s">
        <v>167</v>
      </c>
      <c r="B24" s="147" t="str">
        <f>+VLOOKUP(A24,'Estado SCI'!$A$16:$C$59,3,0)</f>
        <v>ACTIVIDADES DE CONTROL</v>
      </c>
      <c r="C24" s="147" t="s">
        <v>87</v>
      </c>
      <c r="D24" s="147" t="s">
        <v>34</v>
      </c>
      <c r="E24" s="147" t="s">
        <v>80</v>
      </c>
      <c r="F24" s="147" t="str">
        <f>+VLOOKUP(A24,'Estado SCI'!$A$16:$I$59,9,0)</f>
        <v>Mantenimiento del control</v>
      </c>
      <c r="G24" s="147">
        <f>+VLOOKUP(A24,'Estado SCI'!$A$16:$L$59,12,0)</f>
        <v>60.31</v>
      </c>
      <c r="H24" s="147">
        <f t="shared" si="0"/>
        <v>25</v>
      </c>
      <c r="I24" s="147" t="str">
        <f>+IF(VLOOKUP(A24,'Estado SCI'!$A$16:$G$59,7,0)="","",VLOOKUP(A24,'Estado SCI'!$A$16:$G$59,7,0))</f>
        <v>Si</v>
      </c>
      <c r="J24" s="148">
        <f t="shared" si="2"/>
        <v>1</v>
      </c>
      <c r="K24" s="149">
        <f t="shared" si="1"/>
        <v>0.8</v>
      </c>
    </row>
    <row r="25" spans="1:11" ht="15" customHeight="1" x14ac:dyDescent="0.25">
      <c r="A25" s="147" t="s">
        <v>168</v>
      </c>
      <c r="B25" s="147" t="s">
        <v>78</v>
      </c>
      <c r="C25" s="147" t="s">
        <v>87</v>
      </c>
      <c r="D25" s="147" t="s">
        <v>36</v>
      </c>
      <c r="E25" s="147" t="s">
        <v>81</v>
      </c>
      <c r="F25" s="147" t="str">
        <f>+VLOOKUP(A25,'Estado SCI'!$A$16:$I$59,9,0)</f>
        <v>Oportunidad de mejora</v>
      </c>
      <c r="G25" s="147">
        <f>+VLOOKUP(A25,'Estado SCI'!$A$16:$L$59,12,0)</f>
        <v>50.323</v>
      </c>
      <c r="H25" s="147">
        <f t="shared" si="0"/>
        <v>23</v>
      </c>
      <c r="I25" s="147" t="str">
        <f>+IF(VLOOKUP(A25,'Estado SCI'!$A$16:$G$59,7,0)="","",VLOOKUP(A25,'Estado SCI'!$A$16:$G$59,7,0))</f>
        <v>En proceso</v>
      </c>
      <c r="J25" s="148">
        <f t="shared" si="2"/>
        <v>0.5</v>
      </c>
      <c r="K25" s="149">
        <f t="shared" si="1"/>
        <v>0.8</v>
      </c>
    </row>
    <row r="26" spans="1:11" ht="15" customHeight="1" x14ac:dyDescent="0.25">
      <c r="A26" s="147" t="s">
        <v>169</v>
      </c>
      <c r="B26" s="147" t="s">
        <v>78</v>
      </c>
      <c r="C26" s="147" t="s">
        <v>87</v>
      </c>
      <c r="D26" s="147" t="s">
        <v>39</v>
      </c>
      <c r="E26" s="147" t="s">
        <v>82</v>
      </c>
      <c r="F26" s="147" t="str">
        <f>+VLOOKUP(A26,'Estado SCI'!$A$16:$I$59,9,0)</f>
        <v>Oportunidad de mejora</v>
      </c>
      <c r="G26" s="147">
        <f>+VLOOKUP(A26,'Estado SCI'!$A$16:$L$59,12,0)</f>
        <v>50.323999999999998</v>
      </c>
      <c r="H26" s="147">
        <f t="shared" si="0"/>
        <v>24</v>
      </c>
      <c r="I26" s="147" t="str">
        <f>+IF(VLOOKUP(A26,'Estado SCI'!$A$16:$G$59,7,0)="","",VLOOKUP(A26,'Estado SCI'!$A$16:$G$59,7,0))</f>
        <v>En proceso</v>
      </c>
      <c r="J26" s="148">
        <f t="shared" si="2"/>
        <v>0.5</v>
      </c>
      <c r="K26" s="149">
        <f t="shared" si="1"/>
        <v>0.8</v>
      </c>
    </row>
    <row r="27" spans="1:11" ht="15.75" customHeight="1" x14ac:dyDescent="0.25">
      <c r="A27" s="147" t="s">
        <v>170</v>
      </c>
      <c r="B27" s="147" t="s">
        <v>78</v>
      </c>
      <c r="C27" s="147" t="s">
        <v>87</v>
      </c>
      <c r="D27" s="147" t="s">
        <v>41</v>
      </c>
      <c r="E27" s="147" t="s">
        <v>83</v>
      </c>
      <c r="F27" s="147" t="str">
        <f>+VLOOKUP(A27,'Estado SCI'!$A$16:$I$59,9,0)</f>
        <v>Mantenimiento del control</v>
      </c>
      <c r="G27" s="147">
        <f>+VLOOKUP(A27,'Estado SCI'!$A$16:$L$59,12,0)</f>
        <v>60.325000000000003</v>
      </c>
      <c r="H27" s="147">
        <f t="shared" si="0"/>
        <v>26</v>
      </c>
      <c r="I27" s="147" t="str">
        <f>+IF(VLOOKUP(A27,'Estado SCI'!$A$16:$G$59,7,0)="","",VLOOKUP(A27,'Estado SCI'!$A$16:$G$59,7,0))</f>
        <v>Si</v>
      </c>
      <c r="J27" s="148">
        <f t="shared" si="2"/>
        <v>1</v>
      </c>
      <c r="K27" s="149">
        <f t="shared" si="1"/>
        <v>0.8</v>
      </c>
    </row>
    <row r="28" spans="1:11" ht="15" customHeight="1" x14ac:dyDescent="0.25">
      <c r="A28" s="147" t="s">
        <v>171</v>
      </c>
      <c r="B28" s="147" t="s">
        <v>78</v>
      </c>
      <c r="C28" s="147" t="s">
        <v>97</v>
      </c>
      <c r="D28" s="147" t="s">
        <v>43</v>
      </c>
      <c r="E28" s="147" t="s">
        <v>84</v>
      </c>
      <c r="F28" s="147" t="str">
        <f>+VLOOKUP(A28,'Estado SCI'!$A$16:$I$59,9,0)</f>
        <v>Mantenimiento del control</v>
      </c>
      <c r="G28" s="147">
        <f>+VLOOKUP(A28,'Estado SCI'!$A$16:$L$59,12,0)</f>
        <v>60.326000000000001</v>
      </c>
      <c r="H28" s="147">
        <f t="shared" si="0"/>
        <v>27</v>
      </c>
      <c r="I28" s="147" t="str">
        <f>+IF(VLOOKUP(A28,'Estado SCI'!$A$16:$G$59,7,0)="","",VLOOKUP(A28,'Estado SCI'!$A$16:$G$59,7,0))</f>
        <v>Si</v>
      </c>
      <c r="J28" s="148">
        <f t="shared" si="2"/>
        <v>1</v>
      </c>
      <c r="K28" s="149">
        <f t="shared" si="1"/>
        <v>0.8</v>
      </c>
    </row>
    <row r="29" spans="1:11" ht="15" customHeight="1" x14ac:dyDescent="0.25">
      <c r="A29" s="147" t="s">
        <v>172</v>
      </c>
      <c r="B29" s="147" t="str">
        <f>+VLOOKUP(A29,'Estado SCI'!$A$16:$C$59,3,0)</f>
        <v>INFORMACION Y COMUNICACIÓN</v>
      </c>
      <c r="C29" s="147" t="s">
        <v>97</v>
      </c>
      <c r="D29" s="147" t="s">
        <v>34</v>
      </c>
      <c r="E29" s="147" t="s">
        <v>88</v>
      </c>
      <c r="F29" s="147" t="str">
        <f>+VLOOKUP(A29,'Estado SCI'!$A$16:$I$59,9,0)</f>
        <v>Mantenimiento del control</v>
      </c>
      <c r="G29" s="147">
        <f>+VLOOKUP(A29,'Estado SCI'!$A$16:$L$59,12,0)</f>
        <v>80.412000000000006</v>
      </c>
      <c r="H29" s="147">
        <f t="shared" si="0"/>
        <v>30</v>
      </c>
      <c r="I29" s="147" t="str">
        <f>+IF(VLOOKUP(A29,'Estado SCI'!$A$16:$G$59,7,0)="","",VLOOKUP(A29,'Estado SCI'!$A$16:$G$59,7,0))</f>
        <v>Si</v>
      </c>
      <c r="J29" s="148">
        <f t="shared" si="2"/>
        <v>1</v>
      </c>
      <c r="K29" s="149">
        <f t="shared" si="1"/>
        <v>0.8571428571428571</v>
      </c>
    </row>
    <row r="30" spans="1:11" ht="15" customHeight="1" x14ac:dyDescent="0.25">
      <c r="A30" s="147" t="s">
        <v>173</v>
      </c>
      <c r="B30" s="147" t="s">
        <v>86</v>
      </c>
      <c r="C30" s="147" t="s">
        <v>97</v>
      </c>
      <c r="D30" s="147" t="s">
        <v>36</v>
      </c>
      <c r="E30" s="147" t="s">
        <v>89</v>
      </c>
      <c r="F30" s="147" t="str">
        <f>+VLOOKUP(A30,'Estado SCI'!$A$16:$I$59,9,0)</f>
        <v>Oportunidad de mejora</v>
      </c>
      <c r="G30" s="147">
        <f>+VLOOKUP(A30,'Estado SCI'!$A$16:$L$59,12,0)</f>
        <v>70.412300000000002</v>
      </c>
      <c r="H30" s="147">
        <f t="shared" si="0"/>
        <v>28</v>
      </c>
      <c r="I30" s="147" t="str">
        <f>+IF(VLOOKUP(A30,'Estado SCI'!$A$16:$G$59,7,0)="","",VLOOKUP(A30,'Estado SCI'!$A$16:$G$59,7,0))</f>
        <v>En proceso</v>
      </c>
      <c r="J30" s="148">
        <f t="shared" si="2"/>
        <v>0.5</v>
      </c>
      <c r="K30" s="149">
        <f t="shared" si="1"/>
        <v>0.8571428571428571</v>
      </c>
    </row>
    <row r="31" spans="1:11" ht="15.75" customHeight="1" x14ac:dyDescent="0.25">
      <c r="A31" s="147" t="s">
        <v>174</v>
      </c>
      <c r="B31" s="147" t="s">
        <v>86</v>
      </c>
      <c r="C31" s="147" t="s">
        <v>97</v>
      </c>
      <c r="D31" s="147" t="s">
        <v>39</v>
      </c>
      <c r="E31" s="147" t="s">
        <v>90</v>
      </c>
      <c r="F31" s="147" t="str">
        <f>+VLOOKUP(A31,'Estado SCI'!$A$16:$I$59,9,0)</f>
        <v>Mantenimiento del control</v>
      </c>
      <c r="G31" s="147">
        <f>+VLOOKUP(A31,'Estado SCI'!$A$16:$L$59,12,0)</f>
        <v>80.41234</v>
      </c>
      <c r="H31" s="147">
        <f t="shared" si="0"/>
        <v>31</v>
      </c>
      <c r="I31" s="147" t="str">
        <f>+IF(VLOOKUP(A31,'Estado SCI'!$A$16:$G$59,7,0)="","",VLOOKUP(A31,'Estado SCI'!$A$16:$G$59,7,0))</f>
        <v>Si</v>
      </c>
      <c r="J31" s="148">
        <f t="shared" si="2"/>
        <v>1</v>
      </c>
      <c r="K31" s="149">
        <f t="shared" si="1"/>
        <v>0.8571428571428571</v>
      </c>
    </row>
    <row r="32" spans="1:11" x14ac:dyDescent="0.25">
      <c r="A32" s="147" t="s">
        <v>175</v>
      </c>
      <c r="B32" s="147" t="s">
        <v>86</v>
      </c>
      <c r="C32" s="147" t="s">
        <v>103</v>
      </c>
      <c r="D32" s="147" t="s">
        <v>41</v>
      </c>
      <c r="E32" s="147" t="s">
        <v>91</v>
      </c>
      <c r="F32" s="147" t="str">
        <f>+VLOOKUP(A32,'Estado SCI'!$A$16:$I$59,9,0)</f>
        <v>Mantenimiento del control</v>
      </c>
      <c r="G32" s="147">
        <f>+VLOOKUP(A32,'Estado SCI'!$A$16:$L$59,12,0)</f>
        <v>80.412345000000002</v>
      </c>
      <c r="H32" s="147">
        <f t="shared" si="0"/>
        <v>32</v>
      </c>
      <c r="I32" s="147" t="str">
        <f>+IF(VLOOKUP(A32,'Estado SCI'!$A$16:$G$59,7,0)="","",VLOOKUP(A32,'Estado SCI'!$A$16:$G$59,7,0))</f>
        <v>Si</v>
      </c>
      <c r="J32" s="148">
        <f t="shared" si="2"/>
        <v>1</v>
      </c>
      <c r="K32" s="149">
        <f t="shared" si="1"/>
        <v>0.8571428571428571</v>
      </c>
    </row>
    <row r="33" spans="1:11" x14ac:dyDescent="0.25">
      <c r="A33" s="147" t="s">
        <v>176</v>
      </c>
      <c r="B33" s="147" t="s">
        <v>86</v>
      </c>
      <c r="C33" s="147" t="s">
        <v>177</v>
      </c>
      <c r="D33" s="147" t="s">
        <v>43</v>
      </c>
      <c r="E33" s="147" t="s">
        <v>92</v>
      </c>
      <c r="F33" s="147" t="str">
        <f>+VLOOKUP(A33,'Estado SCI'!$A$16:$I$59,9,0)</f>
        <v>Mantenimiento del control</v>
      </c>
      <c r="G33" s="147">
        <f>+VLOOKUP(A33,'Estado SCI'!$A$16:$L$59,12,0)</f>
        <v>80.412345599999995</v>
      </c>
      <c r="H33" s="147">
        <f t="shared" si="0"/>
        <v>33</v>
      </c>
      <c r="I33" s="147" t="str">
        <f>+IF(VLOOKUP(A33,'Estado SCI'!$A$16:$G$59,7,0)="","",VLOOKUP(A33,'Estado SCI'!$A$16:$G$59,7,0))</f>
        <v>Si</v>
      </c>
      <c r="J33" s="148">
        <f t="shared" si="2"/>
        <v>1</v>
      </c>
      <c r="K33" s="149">
        <f t="shared" si="1"/>
        <v>0.8571428571428571</v>
      </c>
    </row>
    <row r="34" spans="1:11" x14ac:dyDescent="0.25">
      <c r="A34" s="147" t="s">
        <v>178</v>
      </c>
      <c r="B34" s="147" t="s">
        <v>86</v>
      </c>
      <c r="C34" s="147" t="s">
        <v>177</v>
      </c>
      <c r="D34" s="147" t="s">
        <v>45</v>
      </c>
      <c r="E34" s="147" t="s">
        <v>93</v>
      </c>
      <c r="F34" s="147" t="str">
        <f>+VLOOKUP(A34,'Estado SCI'!$A$16:$I$59,9,0)</f>
        <v>Oportunidad de mejora</v>
      </c>
      <c r="G34" s="147">
        <f>+VLOOKUP(A34,'Estado SCI'!$A$16:$L$59,12,0)</f>
        <v>70.412345669999993</v>
      </c>
      <c r="H34" s="147">
        <f t="shared" si="0"/>
        <v>29</v>
      </c>
      <c r="I34" s="147" t="str">
        <f>+IF(VLOOKUP(A34,'Estado SCI'!$A$16:$G$59,7,0)="","",VLOOKUP(A34,'Estado SCI'!$A$16:$G$59,7,0))</f>
        <v>En proceso</v>
      </c>
      <c r="J34" s="148">
        <f t="shared" si="2"/>
        <v>0.5</v>
      </c>
      <c r="K34" s="149">
        <f t="shared" si="1"/>
        <v>0.8571428571428571</v>
      </c>
    </row>
    <row r="35" spans="1:11" x14ac:dyDescent="0.25">
      <c r="A35" s="147" t="s">
        <v>179</v>
      </c>
      <c r="B35" s="147" t="s">
        <v>86</v>
      </c>
      <c r="C35" s="147" t="s">
        <v>177</v>
      </c>
      <c r="D35" s="147" t="s">
        <v>47</v>
      </c>
      <c r="E35" s="147" t="s">
        <v>94</v>
      </c>
      <c r="F35" s="147" t="str">
        <f>+VLOOKUP(A35,'Estado SCI'!$A$16:$I$59,9,0)</f>
        <v>Mantenimiento del control</v>
      </c>
      <c r="G35" s="147">
        <f>+VLOOKUP(A35,'Estado SCI'!$A$16:$L$59,12,0)</f>
        <v>80.412345677999994</v>
      </c>
      <c r="H35" s="147">
        <f t="shared" si="0"/>
        <v>34</v>
      </c>
      <c r="I35" s="147" t="str">
        <f>+IF(VLOOKUP(A35,'Estado SCI'!$A$16:$G$59,7,0)="","",VLOOKUP(A35,'Estado SCI'!$A$16:$G$59,7,0))</f>
        <v>Si</v>
      </c>
      <c r="J35" s="148">
        <f t="shared" si="2"/>
        <v>1</v>
      </c>
      <c r="K35" s="149">
        <f t="shared" si="1"/>
        <v>0.8571428571428571</v>
      </c>
    </row>
    <row r="36" spans="1:11" x14ac:dyDescent="0.25">
      <c r="A36" s="147" t="s">
        <v>180</v>
      </c>
      <c r="B36" s="147" t="str">
        <f>+VLOOKUP(A36,'Estado SCI'!$A$16:$C$59,3,0)</f>
        <v>ACTIVIDADES DE MONITOREO</v>
      </c>
      <c r="C36" s="147" t="s">
        <v>177</v>
      </c>
      <c r="D36" s="147" t="s">
        <v>34</v>
      </c>
      <c r="E36" s="147" t="s">
        <v>98</v>
      </c>
      <c r="F36" s="147" t="str">
        <f>+VLOOKUP(A36,'Estado SCI'!$A$16:$I$59,9,0)</f>
        <v>Mantenimiento del control</v>
      </c>
      <c r="G36" s="147">
        <f>+VLOOKUP(A36,'Estado SCI'!$A$16:$L$59,12,0)</f>
        <v>120.851</v>
      </c>
      <c r="H36" s="147">
        <f t="shared" si="0"/>
        <v>35</v>
      </c>
      <c r="I36" s="147" t="str">
        <f>+IF(VLOOKUP(A36,'Estado SCI'!$A$16:$G$59,7,0)="","",VLOOKUP(A36,'Estado SCI'!$A$16:$G$59,7,0))</f>
        <v>Si</v>
      </c>
      <c r="J36" s="148">
        <f t="shared" si="2"/>
        <v>1</v>
      </c>
      <c r="K36" s="149">
        <f t="shared" si="1"/>
        <v>1</v>
      </c>
    </row>
    <row r="37" spans="1:11" x14ac:dyDescent="0.25">
      <c r="A37" s="147" t="s">
        <v>181</v>
      </c>
      <c r="B37" s="147" t="s">
        <v>96</v>
      </c>
      <c r="C37" s="147" t="s">
        <v>177</v>
      </c>
      <c r="D37" s="147" t="s">
        <v>41</v>
      </c>
      <c r="E37" s="147" t="s">
        <v>99</v>
      </c>
      <c r="F37" s="147" t="str">
        <f>+VLOOKUP(A37,'Estado SCI'!$A$16:$I$59,9,0)</f>
        <v>Mantenimiento del control</v>
      </c>
      <c r="G37" s="147">
        <f>+VLOOKUP(A37,'Estado SCI'!$A$16:$L$59,12,0)</f>
        <v>120.85120000000001</v>
      </c>
      <c r="H37" s="147">
        <f t="shared" si="0"/>
        <v>36</v>
      </c>
      <c r="I37" s="147" t="str">
        <f>+IF(VLOOKUP(A37,'Estado SCI'!$A$16:$G$59,7,0)="","",VLOOKUP(A37,'Estado SCI'!$A$16:$G$59,7,0))</f>
        <v>Si</v>
      </c>
      <c r="J37" s="148">
        <f t="shared" si="2"/>
        <v>1</v>
      </c>
      <c r="K37" s="149">
        <f t="shared" si="1"/>
        <v>1</v>
      </c>
    </row>
    <row r="38" spans="1:11" x14ac:dyDescent="0.25">
      <c r="A38" s="147" t="s">
        <v>182</v>
      </c>
      <c r="B38" s="147" t="s">
        <v>96</v>
      </c>
      <c r="C38" s="147" t="s">
        <v>67</v>
      </c>
      <c r="D38" s="147" t="s">
        <v>45</v>
      </c>
      <c r="E38" s="147" t="s">
        <v>100</v>
      </c>
      <c r="F38" s="147" t="str">
        <f>+VLOOKUP(A38,'Estado SCI'!$A$16:$I$59,9,0)</f>
        <v>Mantenimiento del control</v>
      </c>
      <c r="G38" s="147">
        <f>+VLOOKUP(A38,'Estado SCI'!$A$16:$L$59,12,0)</f>
        <v>120.85123</v>
      </c>
      <c r="H38" s="147">
        <f t="shared" si="0"/>
        <v>37</v>
      </c>
      <c r="I38" s="147" t="str">
        <f>+IF(VLOOKUP(A38,'Estado SCI'!$A$16:$G$59,7,0)="","",VLOOKUP(A38,'Estado SCI'!$A$16:$G$59,7,0))</f>
        <v>Si</v>
      </c>
      <c r="J38" s="148">
        <f t="shared" si="2"/>
        <v>1</v>
      </c>
      <c r="K38" s="149">
        <f t="shared" si="1"/>
        <v>1</v>
      </c>
    </row>
    <row r="39" spans="1:11" x14ac:dyDescent="0.25">
      <c r="A39" s="147" t="s">
        <v>183</v>
      </c>
      <c r="B39" s="147" t="s">
        <v>96</v>
      </c>
      <c r="C39" s="147" t="s">
        <v>67</v>
      </c>
      <c r="D39" s="147" t="s">
        <v>47</v>
      </c>
      <c r="E39" s="147" t="s">
        <v>101</v>
      </c>
      <c r="F39" s="147" t="str">
        <f>+VLOOKUP(A39,'Estado SCI'!$A$16:$I$59,9,0)</f>
        <v>Mantenimiento del control</v>
      </c>
      <c r="G39" s="147">
        <f>+VLOOKUP(A39,'Estado SCI'!$A$16:$L$59,12,0)</f>
        <v>120.85123400000001</v>
      </c>
      <c r="H39" s="147">
        <f t="shared" si="0"/>
        <v>38</v>
      </c>
      <c r="I39" s="147" t="str">
        <f>+IF(VLOOKUP(A39,'Estado SCI'!$A$16:$G$59,7,0)="","",VLOOKUP(A39,'Estado SCI'!$A$16:$G$59,7,0))</f>
        <v>Si</v>
      </c>
      <c r="J39" s="148">
        <f t="shared" si="2"/>
        <v>1</v>
      </c>
      <c r="K39" s="149">
        <f t="shared" si="1"/>
        <v>1</v>
      </c>
    </row>
    <row r="40" spans="1:11" x14ac:dyDescent="0.25">
      <c r="A40" s="147" t="s">
        <v>184</v>
      </c>
      <c r="B40" s="147" t="s">
        <v>96</v>
      </c>
      <c r="C40" s="147" t="s">
        <v>67</v>
      </c>
      <c r="D40" s="147" t="s">
        <v>49</v>
      </c>
      <c r="E40" s="147" t="s">
        <v>104</v>
      </c>
      <c r="F40" s="147" t="str">
        <f>+VLOOKUP(A40,'Estado SCI'!$A$16:$I$59,9,0)</f>
        <v>Mantenimiento del control</v>
      </c>
      <c r="G40" s="147">
        <f>+VLOOKUP(A40,'Estado SCI'!$A$16:$L$59,12,0)</f>
        <v>120.8512345</v>
      </c>
      <c r="H40" s="147">
        <f t="shared" si="0"/>
        <v>39</v>
      </c>
      <c r="I40" s="147" t="str">
        <f>+IF(VLOOKUP(A40,'Estado SCI'!$A$16:$G$59,7,0)="","",VLOOKUP(A40,'Estado SCI'!$A$16:$G$59,7,0))</f>
        <v>Si</v>
      </c>
      <c r="J40" s="148">
        <f t="shared" si="2"/>
        <v>1</v>
      </c>
      <c r="K40" s="149">
        <f t="shared" si="1"/>
        <v>1</v>
      </c>
    </row>
    <row r="41" spans="1:11" x14ac:dyDescent="0.25">
      <c r="A41" s="147" t="s">
        <v>185</v>
      </c>
      <c r="B41" s="147" t="s">
        <v>96</v>
      </c>
      <c r="C41" s="147" t="s">
        <v>67</v>
      </c>
      <c r="D41" s="147" t="s">
        <v>34</v>
      </c>
      <c r="E41" s="147" t="s">
        <v>107</v>
      </c>
      <c r="F41" s="147" t="str">
        <f>+VLOOKUP(A41,'Estado SCI'!$A$16:$I$59,9,0)</f>
        <v>Mantenimiento del control</v>
      </c>
      <c r="G41" s="147">
        <f>+VLOOKUP(A41,'Estado SCI'!$A$16:$L$59,12,0)</f>
        <v>120.85123455999999</v>
      </c>
      <c r="H41" s="147">
        <f t="shared" si="0"/>
        <v>40</v>
      </c>
      <c r="I41" s="147" t="str">
        <f>+IF(VLOOKUP(A41,'Estado SCI'!$A$16:$G$59,7,0)="","",VLOOKUP(A41,'Estado SCI'!$A$16:$G$59,7,0))</f>
        <v>Si</v>
      </c>
      <c r="J41" s="148">
        <f t="shared" si="2"/>
        <v>1</v>
      </c>
      <c r="K41" s="149">
        <f t="shared" si="1"/>
        <v>1</v>
      </c>
    </row>
    <row r="42" spans="1:11" x14ac:dyDescent="0.25">
      <c r="A42" s="147" t="s">
        <v>186</v>
      </c>
      <c r="B42" s="147" t="s">
        <v>96</v>
      </c>
      <c r="C42" s="147" t="s">
        <v>72</v>
      </c>
      <c r="D42" s="147" t="s">
        <v>36</v>
      </c>
      <c r="E42" s="147" t="s">
        <v>108</v>
      </c>
      <c r="F42" s="147" t="str">
        <f>+VLOOKUP(A42,'Estado SCI'!$A$16:$I$59,9,0)</f>
        <v>Mantenimiento del control</v>
      </c>
      <c r="G42" s="147">
        <f>+VLOOKUP(A42,'Estado SCI'!$A$16:$L$59,12,0)</f>
        <v>120.85123456700001</v>
      </c>
      <c r="H42" s="147">
        <f t="shared" si="0"/>
        <v>41</v>
      </c>
      <c r="I42" s="147" t="str">
        <f>+IF(VLOOKUP(A42,'Estado SCI'!$A$16:$G$59,7,0)="","",VLOOKUP(A42,'Estado SCI'!$A$16:$G$59,7,0))</f>
        <v>Si</v>
      </c>
      <c r="J42" s="148">
        <f t="shared" si="2"/>
        <v>1</v>
      </c>
      <c r="K42" s="149">
        <f t="shared" si="1"/>
        <v>1</v>
      </c>
    </row>
    <row r="43" spans="1:11" x14ac:dyDescent="0.25">
      <c r="A43" s="147" t="s">
        <v>187</v>
      </c>
      <c r="B43" s="147" t="s">
        <v>96</v>
      </c>
      <c r="C43" s="147" t="s">
        <v>72</v>
      </c>
      <c r="D43" s="147" t="s">
        <v>39</v>
      </c>
      <c r="E43" s="147" t="s">
        <v>109</v>
      </c>
      <c r="F43" s="147" t="str">
        <f>+VLOOKUP(A43,'Estado SCI'!$A$16:$I$59,9,0)</f>
        <v>Mantenimiento del control</v>
      </c>
      <c r="G43" s="147">
        <f>+VLOOKUP(A43,'Estado SCI'!$A$16:$L$59,12,0)</f>
        <v>120.85123456780001</v>
      </c>
      <c r="H43" s="147">
        <f t="shared" si="0"/>
        <v>42</v>
      </c>
      <c r="I43" s="147" t="str">
        <f>+IF(VLOOKUP(A43,'Estado SCI'!$A$16:$G$59,7,0)="","",VLOOKUP(A43,'Estado SCI'!$A$16:$G$59,7,0))</f>
        <v>Si</v>
      </c>
      <c r="J43" s="148">
        <f t="shared" si="2"/>
        <v>1</v>
      </c>
      <c r="K43" s="149">
        <f t="shared" si="1"/>
        <v>1</v>
      </c>
    </row>
    <row r="44" spans="1:11" x14ac:dyDescent="0.25">
      <c r="A44" s="147" t="s">
        <v>188</v>
      </c>
      <c r="B44" s="147" t="s">
        <v>96</v>
      </c>
      <c r="C44" s="147" t="s">
        <v>72</v>
      </c>
      <c r="D44" s="147" t="s">
        <v>41</v>
      </c>
      <c r="E44" s="147" t="s">
        <v>110</v>
      </c>
      <c r="F44" s="147" t="str">
        <f>+VLOOKUP(A44,'Estado SCI'!$A$16:$I$59,9,0)</f>
        <v>Mantenimiento del control</v>
      </c>
      <c r="G44" s="147">
        <f>+VLOOKUP(A44,'Estado SCI'!$A$16:$L$59,12,0)</f>
        <v>120.85123456789</v>
      </c>
      <c r="H44" s="147">
        <f t="shared" si="0"/>
        <v>43</v>
      </c>
      <c r="I44" s="147" t="str">
        <f>+IF(VLOOKUP(A44,'Estado SCI'!$A$16:$G$59,7,0)="","",VLOOKUP(A44,'Estado SCI'!$A$16:$G$59,7,0))</f>
        <v>Si</v>
      </c>
      <c r="J44" s="148">
        <f t="shared" si="2"/>
        <v>1</v>
      </c>
      <c r="K44" s="149">
        <f t="shared" si="1"/>
        <v>1</v>
      </c>
    </row>
    <row r="45" spans="1:11" x14ac:dyDescent="0.25">
      <c r="A45" s="147" t="s">
        <v>189</v>
      </c>
      <c r="B45" s="147" t="s">
        <v>96</v>
      </c>
      <c r="C45" s="147" t="s">
        <v>72</v>
      </c>
      <c r="D45" s="147" t="s">
        <v>43</v>
      </c>
      <c r="E45" s="147" t="s">
        <v>111</v>
      </c>
      <c r="F45" s="147" t="str">
        <f>+VLOOKUP(A45,'Estado SCI'!$A$16:$I$59,9,0)</f>
        <v>Mantenimiento del control</v>
      </c>
      <c r="G45" s="147">
        <f>+VLOOKUP(A45,'Estado SCI'!$A$16:$L$59,12,0)</f>
        <v>120.851234567891</v>
      </c>
      <c r="H45" s="147">
        <f t="shared" si="0"/>
        <v>44</v>
      </c>
      <c r="I45" s="147" t="str">
        <f>+IF(VLOOKUP(A45,'Estado SCI'!$A$16:$G$59,7,0)="","",VLOOKUP(A45,'Estado SCI'!$A$16:$G$59,7,0))</f>
        <v>Si</v>
      </c>
      <c r="J45" s="148">
        <f t="shared" si="2"/>
        <v>1</v>
      </c>
      <c r="K45" s="149">
        <f t="shared" si="1"/>
        <v>1</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CONTROL_INT</cp:lastModifiedBy>
  <cp:revision/>
  <cp:lastPrinted>2023-01-27T20:13:17Z</cp:lastPrinted>
  <dcterms:created xsi:type="dcterms:W3CDTF">2020-04-28T13:58:09Z</dcterms:created>
  <dcterms:modified xsi:type="dcterms:W3CDTF">2025-01-20T15:22:38Z</dcterms:modified>
  <cp:category/>
  <cp:contentStatus/>
</cp:coreProperties>
</file>